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astovac\Desktop\"/>
    </mc:Choice>
  </mc:AlternateContent>
  <xr:revisionPtr revIDLastSave="0" documentId="8_{0816585E-01E8-44EC-9887-F023830A1A17}" xr6:coauthVersionLast="45" xr6:coauthVersionMax="45" xr10:uidLastSave="{00000000-0000-0000-0000-000000000000}"/>
  <bookViews>
    <workbookView xWindow="7590" yWindow="780" windowWidth="19890" windowHeight="14985" xr2:uid="{00000000-000D-0000-FFFF-FFFF00000000}"/>
  </bookViews>
  <sheets>
    <sheet name="076" sheetId="1" r:id="rId1"/>
  </sheets>
  <definedNames>
    <definedName name="_FiltarBaze" localSheetId="0" hidden="1">'076'!$A$2:$J$687</definedName>
    <definedName name="_xlnm._FilterDatabase" localSheetId="0" hidden="1">'076'!$B$1:$L$687</definedName>
    <definedName name="_Hlk30594087" localSheetId="0">'076'!#REF!</definedName>
    <definedName name="bookmark2" localSheetId="0">'076'!$I$580</definedName>
    <definedName name="_xlnm.Print_Titles" localSheetId="0">'076'!$2:$2</definedName>
    <definedName name="OLE_LINK1" localSheetId="0">'076'!#REF!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" i="1" l="1"/>
  <c r="L20" i="1"/>
  <c r="L21" i="1" s="1"/>
  <c r="L16" i="1"/>
  <c r="L15" i="1"/>
  <c r="L14" i="1"/>
  <c r="L13" i="1"/>
  <c r="L12" i="1"/>
  <c r="L11" i="1"/>
  <c r="L10" i="1"/>
  <c r="L8" i="1"/>
  <c r="L6" i="1"/>
  <c r="L5" i="1"/>
  <c r="L17" i="1" s="1"/>
  <c r="K4" i="1"/>
  <c r="L685" i="1"/>
  <c r="L684" i="1" s="1"/>
  <c r="L683" i="1"/>
  <c r="L680" i="1"/>
  <c r="L679" i="1" s="1"/>
  <c r="L678" i="1"/>
  <c r="K678" i="1"/>
  <c r="L670" i="1"/>
  <c r="L669" i="1"/>
  <c r="L668" i="1"/>
  <c r="L664" i="1" s="1"/>
  <c r="L667" i="1"/>
  <c r="L663" i="1" s="1"/>
  <c r="L666" i="1"/>
  <c r="L665" i="1"/>
  <c r="L662" i="1"/>
  <c r="L661" i="1"/>
  <c r="L658" i="1"/>
  <c r="L657" i="1" s="1"/>
  <c r="L656" i="1"/>
  <c r="L649" i="1"/>
  <c r="L648" i="1"/>
  <c r="L647" i="1"/>
  <c r="L646" i="1"/>
  <c r="L645" i="1"/>
  <c r="L644" i="1"/>
  <c r="L631" i="1"/>
  <c r="L630" i="1"/>
  <c r="L629" i="1"/>
  <c r="L628" i="1"/>
  <c r="L627" i="1"/>
  <c r="L626" i="1"/>
  <c r="L623" i="1" s="1"/>
  <c r="L625" i="1"/>
  <c r="L624" i="1"/>
  <c r="L622" i="1"/>
  <c r="L614" i="1"/>
  <c r="L613" i="1"/>
  <c r="L612" i="1"/>
  <c r="L611" i="1"/>
  <c r="L608" i="1" s="1"/>
  <c r="L610" i="1"/>
  <c r="L609" i="1"/>
  <c r="L607" i="1"/>
  <c r="L599" i="1"/>
  <c r="L598" i="1"/>
  <c r="L597" i="1"/>
  <c r="L596" i="1"/>
  <c r="L593" i="1" s="1"/>
  <c r="L595" i="1"/>
  <c r="L594" i="1"/>
  <c r="L592" i="1"/>
  <c r="L590" i="1"/>
  <c r="L589" i="1" s="1"/>
  <c r="L588" i="1"/>
  <c r="L584" i="1"/>
  <c r="L582" i="1" s="1"/>
  <c r="L583" i="1"/>
  <c r="L581" i="1"/>
  <c r="L580" i="1"/>
  <c r="L578" i="1"/>
  <c r="L577" i="1" s="1"/>
  <c r="L576" i="1"/>
  <c r="L573" i="1"/>
  <c r="L572" i="1" s="1"/>
  <c r="L571" i="1"/>
  <c r="L567" i="1"/>
  <c r="L566" i="1"/>
  <c r="L565" i="1"/>
  <c r="L563" i="1" s="1"/>
  <c r="L564" i="1"/>
  <c r="L562" i="1"/>
  <c r="L560" i="1"/>
  <c r="L559" i="1" s="1"/>
  <c r="L558" i="1"/>
  <c r="L552" i="1"/>
  <c r="L551" i="1"/>
  <c r="L550" i="1"/>
  <c r="L549" i="1"/>
  <c r="L548" i="1"/>
  <c r="K548" i="1"/>
  <c r="L539" i="1"/>
  <c r="L538" i="1"/>
  <c r="L537" i="1"/>
  <c r="L536" i="1"/>
  <c r="L534" i="1" s="1"/>
  <c r="L535" i="1"/>
  <c r="L533" i="1"/>
  <c r="L529" i="1"/>
  <c r="L528" i="1"/>
  <c r="L527" i="1" s="1"/>
  <c r="L526" i="1"/>
  <c r="L516" i="1"/>
  <c r="L510" i="1" s="1"/>
  <c r="L515" i="1"/>
  <c r="L514" i="1"/>
  <c r="L513" i="1"/>
  <c r="L508" i="1" s="1"/>
  <c r="L512" i="1"/>
  <c r="L511" i="1"/>
  <c r="L509" i="1"/>
  <c r="L507" i="1"/>
  <c r="L501" i="1"/>
  <c r="L500" i="1"/>
  <c r="L499" i="1"/>
  <c r="L498" i="1"/>
  <c r="L496" i="1" s="1"/>
  <c r="L497" i="1"/>
  <c r="L495" i="1"/>
  <c r="L482" i="1"/>
  <c r="L481" i="1"/>
  <c r="L480" i="1"/>
  <c r="L479" i="1"/>
  <c r="L478" i="1"/>
  <c r="L473" i="1" s="1"/>
  <c r="L477" i="1"/>
  <c r="L476" i="1"/>
  <c r="L475" i="1"/>
  <c r="L472" i="1" s="1"/>
  <c r="L474" i="1"/>
  <c r="L471" i="1"/>
  <c r="K471" i="1"/>
  <c r="L458" i="1"/>
  <c r="L457" i="1"/>
  <c r="L456" i="1"/>
  <c r="L455" i="1"/>
  <c r="L449" i="1" s="1"/>
  <c r="L454" i="1"/>
  <c r="L453" i="1"/>
  <c r="L452" i="1"/>
  <c r="L451" i="1"/>
  <c r="L448" i="1" s="1"/>
  <c r="L450" i="1"/>
  <c r="L447" i="1"/>
  <c r="K447" i="1"/>
  <c r="L441" i="1"/>
  <c r="L440" i="1"/>
  <c r="L439" i="1"/>
  <c r="L438" i="1"/>
  <c r="L436" i="1" s="1"/>
  <c r="L437" i="1"/>
  <c r="L435" i="1"/>
  <c r="L426" i="1"/>
  <c r="L425" i="1"/>
  <c r="L424" i="1"/>
  <c r="L423" i="1"/>
  <c r="L420" i="1" s="1"/>
  <c r="L422" i="1"/>
  <c r="L421" i="1"/>
  <c r="L419" i="1"/>
  <c r="L316" i="1" s="1"/>
  <c r="L413" i="1"/>
  <c r="L412" i="1"/>
  <c r="L411" i="1"/>
  <c r="L410" i="1"/>
  <c r="L408" i="1" s="1"/>
  <c r="L409" i="1"/>
  <c r="L407" i="1"/>
  <c r="K407" i="1"/>
  <c r="L374" i="1"/>
  <c r="L360" i="1" s="1"/>
  <c r="L373" i="1"/>
  <c r="L372" i="1"/>
  <c r="L371" i="1"/>
  <c r="L358" i="1" s="1"/>
  <c r="L370" i="1"/>
  <c r="L369" i="1"/>
  <c r="L356" i="1" s="1"/>
  <c r="L368" i="1"/>
  <c r="L367" i="1"/>
  <c r="L366" i="1"/>
  <c r="L365" i="1"/>
  <c r="L364" i="1"/>
  <c r="L363" i="1"/>
  <c r="L354" i="1" s="1"/>
  <c r="L362" i="1"/>
  <c r="L361" i="1"/>
  <c r="L359" i="1"/>
  <c r="L357" i="1"/>
  <c r="L355" i="1"/>
  <c r="L353" i="1"/>
  <c r="K353" i="1"/>
  <c r="L331" i="1"/>
  <c r="L330" i="1"/>
  <c r="L329" i="1"/>
  <c r="L328" i="1"/>
  <c r="L327" i="1"/>
  <c r="L326" i="1"/>
  <c r="L325" i="1"/>
  <c r="L319" i="1" s="1"/>
  <c r="L324" i="1"/>
  <c r="L318" i="1" s="1"/>
  <c r="L323" i="1"/>
  <c r="L322" i="1"/>
  <c r="L321" i="1"/>
  <c r="L320" i="1"/>
  <c r="L317" i="1"/>
  <c r="K317" i="1"/>
  <c r="L313" i="1"/>
  <c r="L312" i="1"/>
  <c r="L311" i="1" s="1"/>
  <c r="L310" i="1"/>
  <c r="L302" i="1"/>
  <c r="L301" i="1"/>
  <c r="L300" i="1"/>
  <c r="L299" i="1"/>
  <c r="L297" i="1" s="1"/>
  <c r="L298" i="1"/>
  <c r="L296" i="1"/>
  <c r="L291" i="1"/>
  <c r="L290" i="1"/>
  <c r="L289" i="1"/>
  <c r="L288" i="1"/>
  <c r="L287" i="1"/>
  <c r="L286" i="1"/>
  <c r="L285" i="1"/>
  <c r="L275" i="1"/>
  <c r="L274" i="1"/>
  <c r="L273" i="1"/>
  <c r="L272" i="1"/>
  <c r="L268" i="1" s="1"/>
  <c r="L271" i="1"/>
  <c r="L270" i="1"/>
  <c r="L269" i="1"/>
  <c r="L267" i="1"/>
  <c r="L266" i="1"/>
  <c r="L263" i="1"/>
  <c r="L262" i="1"/>
  <c r="L261" i="1"/>
  <c r="L260" i="1"/>
  <c r="L259" i="1"/>
  <c r="L253" i="1"/>
  <c r="L251" i="1" s="1"/>
  <c r="L252" i="1"/>
  <c r="L250" i="1"/>
  <c r="L249" i="1"/>
  <c r="L245" i="1"/>
  <c r="L244" i="1"/>
  <c r="L243" i="1" s="1"/>
  <c r="L242" i="1"/>
  <c r="L240" i="1"/>
  <c r="L239" i="1" s="1"/>
  <c r="L238" i="1"/>
  <c r="L231" i="1"/>
  <c r="L230" i="1"/>
  <c r="L229" i="1"/>
  <c r="L228" i="1"/>
  <c r="L227" i="1"/>
  <c r="K228" i="1"/>
  <c r="K227" i="1"/>
  <c r="L225" i="1"/>
  <c r="L224" i="1" s="1"/>
  <c r="L223" i="1"/>
  <c r="L188" i="1"/>
  <c r="L187" i="1"/>
  <c r="L186" i="1"/>
  <c r="L185" i="1"/>
  <c r="L172" i="1" s="1"/>
  <c r="L184" i="1"/>
  <c r="L183" i="1"/>
  <c r="L182" i="1"/>
  <c r="L181" i="1"/>
  <c r="L170" i="1" s="1"/>
  <c r="L180" i="1"/>
  <c r="L179" i="1"/>
  <c r="L178" i="1"/>
  <c r="L177" i="1"/>
  <c r="L176" i="1"/>
  <c r="L175" i="1"/>
  <c r="L174" i="1"/>
  <c r="L173" i="1"/>
  <c r="L171" i="1"/>
  <c r="L169" i="1"/>
  <c r="L168" i="1"/>
  <c r="K168" i="1"/>
  <c r="K8" i="1" s="1"/>
  <c r="L166" i="1"/>
  <c r="L165" i="1" s="1"/>
  <c r="L164" i="1"/>
  <c r="L162" i="1"/>
  <c r="L161" i="1" s="1"/>
  <c r="L160" i="1"/>
  <c r="L153" i="1"/>
  <c r="L152" i="1"/>
  <c r="L151" i="1"/>
  <c r="L149" i="1" s="1"/>
  <c r="L150" i="1"/>
  <c r="L148" i="1"/>
  <c r="K148" i="1"/>
  <c r="L135" i="1"/>
  <c r="L134" i="1"/>
  <c r="L133" i="1"/>
  <c r="L132" i="1"/>
  <c r="L131" i="1"/>
  <c r="L130" i="1"/>
  <c r="L129" i="1"/>
  <c r="K129" i="1"/>
  <c r="L117" i="1"/>
  <c r="L116" i="1"/>
  <c r="L115" i="1"/>
  <c r="L114" i="1"/>
  <c r="L109" i="1" s="1"/>
  <c r="L113" i="1"/>
  <c r="L112" i="1"/>
  <c r="L111" i="1"/>
  <c r="L110" i="1"/>
  <c r="L108" i="1"/>
  <c r="K108" i="1"/>
  <c r="L102" i="1"/>
  <c r="L101" i="1"/>
  <c r="L100" i="1"/>
  <c r="L99" i="1"/>
  <c r="K99" i="1"/>
  <c r="L94" i="1"/>
  <c r="L93" i="1"/>
  <c r="L92" i="1"/>
  <c r="L90" i="1" s="1"/>
  <c r="L91" i="1"/>
  <c r="L89" i="1"/>
  <c r="K79" i="1"/>
  <c r="L77" i="1"/>
  <c r="L76" i="1" s="1"/>
  <c r="L75" i="1"/>
  <c r="L39" i="1"/>
  <c r="L38" i="1"/>
  <c r="L37" i="1"/>
  <c r="L36" i="1"/>
  <c r="L35" i="1"/>
  <c r="L34" i="1"/>
  <c r="L33" i="1"/>
  <c r="L32" i="1"/>
  <c r="L25" i="1" s="1"/>
  <c r="L31" i="1"/>
  <c r="L30" i="1"/>
  <c r="L29" i="1"/>
  <c r="L28" i="1"/>
  <c r="L27" i="1"/>
  <c r="L26" i="1"/>
  <c r="L24" i="1"/>
  <c r="L23" i="1"/>
  <c r="K23" i="1"/>
  <c r="K528" i="1"/>
  <c r="K512" i="1"/>
  <c r="K478" i="1"/>
  <c r="K454" i="1"/>
  <c r="K438" i="1"/>
  <c r="K441" i="1"/>
  <c r="K437" i="1" s="1"/>
  <c r="K367" i="1"/>
  <c r="K368" i="1"/>
  <c r="K372" i="1"/>
  <c r="K328" i="1"/>
  <c r="K330" i="1"/>
  <c r="K289" i="1"/>
  <c r="K261" i="1"/>
  <c r="K244" i="1"/>
  <c r="K151" i="1"/>
  <c r="K133" i="1"/>
  <c r="K81" i="1"/>
  <c r="K5" i="1" l="1"/>
  <c r="K584" i="1"/>
  <c r="K582" i="1" s="1"/>
  <c r="K583" i="1"/>
  <c r="K581" i="1" s="1"/>
  <c r="K580" i="1"/>
  <c r="K656" i="1" l="1"/>
  <c r="K658" i="1"/>
  <c r="K657" i="1" s="1"/>
  <c r="K590" i="1" l="1"/>
  <c r="K589" i="1" s="1"/>
  <c r="K588" i="1"/>
  <c r="K576" i="1"/>
  <c r="K13" i="1" l="1"/>
  <c r="K666" i="1" l="1"/>
  <c r="K680" i="1" l="1"/>
  <c r="K683" i="1" l="1"/>
  <c r="K685" i="1"/>
  <c r="K684" i="1" s="1"/>
  <c r="K679" i="1" l="1"/>
  <c r="K271" i="1"/>
  <c r="K267" i="1" s="1"/>
  <c r="K670" i="1" l="1"/>
  <c r="K669" i="1"/>
  <c r="K668" i="1"/>
  <c r="K664" i="1" s="1"/>
  <c r="K667" i="1"/>
  <c r="K663" i="1" s="1"/>
  <c r="K662" i="1"/>
  <c r="K661" i="1"/>
  <c r="K14" i="1" l="1"/>
  <c r="K665" i="1"/>
  <c r="K648" i="1" l="1"/>
  <c r="K413" i="1"/>
  <c r="K533" i="1" l="1"/>
  <c r="K539" i="1"/>
  <c r="K535" i="1" s="1"/>
  <c r="K566" i="1" l="1"/>
  <c r="K649" i="1" l="1"/>
  <c r="K646" i="1" s="1"/>
  <c r="K647" i="1"/>
  <c r="K645" i="1" s="1"/>
  <c r="K644" i="1"/>
  <c r="K631" i="1" l="1"/>
  <c r="K625" i="1" s="1"/>
  <c r="K630" i="1"/>
  <c r="K624" i="1" s="1"/>
  <c r="K629" i="1"/>
  <c r="K628" i="1"/>
  <c r="K627" i="1"/>
  <c r="K626" i="1"/>
  <c r="K622" i="1"/>
  <c r="K16" i="1" s="1"/>
  <c r="K623" i="1" l="1"/>
  <c r="K38" i="1"/>
  <c r="K27" i="1" s="1"/>
  <c r="K259" i="1" l="1"/>
  <c r="K263" i="1" l="1"/>
  <c r="K262" i="1"/>
  <c r="K260" i="1" l="1"/>
  <c r="K15" i="1"/>
  <c r="K570" i="1" l="1"/>
  <c r="K562" i="1" s="1"/>
  <c r="K159" i="1"/>
  <c r="K67" i="1"/>
  <c r="K59" i="1"/>
  <c r="K280" i="1" l="1"/>
  <c r="K282" i="1"/>
  <c r="K281" i="1"/>
  <c r="K255" i="1"/>
  <c r="K258" i="1"/>
  <c r="K256" i="1"/>
  <c r="K254" i="1"/>
  <c r="K71" i="1"/>
  <c r="K70" i="1"/>
  <c r="K69" i="1"/>
  <c r="K68" i="1"/>
  <c r="K64" i="1"/>
  <c r="K62" i="1"/>
  <c r="K61" i="1"/>
  <c r="K60" i="1"/>
  <c r="K58" i="1"/>
  <c r="K57" i="1"/>
  <c r="K56" i="1"/>
  <c r="K55" i="1"/>
  <c r="K54" i="1"/>
  <c r="K53" i="1"/>
  <c r="K52" i="1"/>
  <c r="K50" i="1"/>
  <c r="K49" i="1"/>
  <c r="K48" i="1"/>
  <c r="K46" i="1"/>
  <c r="K44" i="1"/>
  <c r="K274" i="1" l="1"/>
  <c r="K40" i="1"/>
  <c r="K42" i="1" l="1"/>
  <c r="K43" i="1"/>
  <c r="K31" i="1" s="1"/>
  <c r="K41" i="1"/>
  <c r="K45" i="1"/>
  <c r="K315" i="1" l="1"/>
  <c r="K313" i="1" s="1"/>
  <c r="K314" i="1"/>
  <c r="K347" i="1" l="1"/>
  <c r="K95" i="1" l="1"/>
  <c r="K92" i="1" s="1"/>
  <c r="K506" i="1" l="1"/>
  <c r="K501" i="1" s="1"/>
  <c r="K502" i="1"/>
  <c r="K74" i="1" l="1"/>
  <c r="K73" i="1"/>
  <c r="K66" i="1"/>
  <c r="K284" i="1" l="1"/>
  <c r="K266" i="1" l="1"/>
  <c r="K571" i="1"/>
  <c r="K573" i="1"/>
  <c r="K572" i="1" s="1"/>
  <c r="K505" i="1" l="1"/>
  <c r="K504" i="1"/>
  <c r="K495" i="1" l="1"/>
  <c r="K578" i="1" l="1"/>
  <c r="K577" i="1" s="1"/>
  <c r="K592" i="1"/>
  <c r="K595" i="1"/>
  <c r="K596" i="1"/>
  <c r="K597" i="1"/>
  <c r="K598" i="1"/>
  <c r="K599" i="1"/>
  <c r="K607" i="1"/>
  <c r="K610" i="1"/>
  <c r="K611" i="1"/>
  <c r="K612" i="1"/>
  <c r="K613" i="1"/>
  <c r="K614" i="1"/>
  <c r="K608" i="1" l="1"/>
  <c r="K609" i="1"/>
  <c r="K594" i="1"/>
  <c r="K593" i="1"/>
  <c r="K51" i="1" l="1"/>
  <c r="K231" i="1" l="1"/>
  <c r="K232" i="1"/>
  <c r="K229" i="1" s="1"/>
  <c r="K390" i="1" l="1"/>
  <c r="K388" i="1"/>
  <c r="K387" i="1"/>
  <c r="K345" i="1"/>
  <c r="K344" i="1"/>
  <c r="K366" i="1" l="1"/>
  <c r="K327" i="1"/>
  <c r="K257" i="1"/>
  <c r="K65" i="1"/>
  <c r="K63" i="1"/>
  <c r="K47" i="1"/>
  <c r="K39" i="1" l="1"/>
  <c r="K28" i="1" s="1"/>
  <c r="K36" i="1"/>
  <c r="K32" i="1"/>
  <c r="K33" i="1"/>
  <c r="K312" i="1"/>
  <c r="K310" i="1"/>
  <c r="K311" i="1" l="1"/>
  <c r="K242" i="1" l="1"/>
  <c r="K245" i="1"/>
  <c r="K243" i="1" s="1"/>
  <c r="K89" i="1" l="1"/>
  <c r="K567" i="1" l="1"/>
  <c r="K564" i="1" s="1"/>
  <c r="K565" i="1"/>
  <c r="K563" i="1" s="1"/>
  <c r="K560" i="1"/>
  <c r="K559" i="1" s="1"/>
  <c r="K558" i="1"/>
  <c r="K552" i="1"/>
  <c r="K551" i="1"/>
  <c r="K550" i="1"/>
  <c r="K549" i="1" s="1"/>
  <c r="K538" i="1"/>
  <c r="K537" i="1"/>
  <c r="K536" i="1"/>
  <c r="K534" i="1" s="1"/>
  <c r="K529" i="1"/>
  <c r="K527" i="1" s="1"/>
  <c r="K526" i="1"/>
  <c r="K516" i="1"/>
  <c r="K510" i="1" s="1"/>
  <c r="K515" i="1"/>
  <c r="K509" i="1" s="1"/>
  <c r="K514" i="1"/>
  <c r="K513" i="1"/>
  <c r="K511" i="1"/>
  <c r="K507" i="1"/>
  <c r="K497" i="1"/>
  <c r="K500" i="1"/>
  <c r="K499" i="1"/>
  <c r="K498" i="1"/>
  <c r="K482" i="1"/>
  <c r="K481" i="1"/>
  <c r="K480" i="1"/>
  <c r="K479" i="1"/>
  <c r="K477" i="1"/>
  <c r="K476" i="1"/>
  <c r="K475" i="1"/>
  <c r="K458" i="1"/>
  <c r="K457" i="1"/>
  <c r="K456" i="1"/>
  <c r="K455" i="1"/>
  <c r="K453" i="1"/>
  <c r="K452" i="1"/>
  <c r="K451" i="1"/>
  <c r="K440" i="1"/>
  <c r="K439" i="1"/>
  <c r="K435" i="1"/>
  <c r="K426" i="1"/>
  <c r="K425" i="1"/>
  <c r="K424" i="1"/>
  <c r="K423" i="1"/>
  <c r="K422" i="1"/>
  <c r="K419" i="1"/>
  <c r="K412" i="1"/>
  <c r="K409" i="1" s="1"/>
  <c r="K411" i="1"/>
  <c r="K410" i="1"/>
  <c r="K404" i="1"/>
  <c r="K402" i="1" s="1"/>
  <c r="K403" i="1"/>
  <c r="K401" i="1" s="1"/>
  <c r="K400" i="1"/>
  <c r="K374" i="1"/>
  <c r="K373" i="1"/>
  <c r="K371" i="1"/>
  <c r="K358" i="1" s="1"/>
  <c r="K370" i="1"/>
  <c r="K357" i="1" s="1"/>
  <c r="K369" i="1"/>
  <c r="K365" i="1"/>
  <c r="K364" i="1"/>
  <c r="K363" i="1"/>
  <c r="K362" i="1"/>
  <c r="K361" i="1"/>
  <c r="K331" i="1"/>
  <c r="K329" i="1"/>
  <c r="K320" i="1" s="1"/>
  <c r="K326" i="1"/>
  <c r="K325" i="1"/>
  <c r="K324" i="1"/>
  <c r="K323" i="1"/>
  <c r="K322" i="1"/>
  <c r="K302" i="1"/>
  <c r="K298" i="1" s="1"/>
  <c r="K301" i="1"/>
  <c r="K300" i="1"/>
  <c r="K299" i="1"/>
  <c r="K296" i="1"/>
  <c r="K291" i="1"/>
  <c r="K290" i="1"/>
  <c r="K288" i="1"/>
  <c r="K286" i="1" s="1"/>
  <c r="K285" i="1"/>
  <c r="K275" i="1"/>
  <c r="K273" i="1"/>
  <c r="K269" i="1" s="1"/>
  <c r="K272" i="1"/>
  <c r="K268" i="1" s="1"/>
  <c r="K253" i="1"/>
  <c r="K251" i="1" s="1"/>
  <c r="K252" i="1"/>
  <c r="K250" i="1" s="1"/>
  <c r="K249" i="1"/>
  <c r="K240" i="1"/>
  <c r="K239" i="1" s="1"/>
  <c r="K238" i="1"/>
  <c r="K230" i="1"/>
  <c r="K225" i="1"/>
  <c r="K224" i="1" s="1"/>
  <c r="K223" i="1"/>
  <c r="K188" i="1"/>
  <c r="K187" i="1"/>
  <c r="K186" i="1"/>
  <c r="K173" i="1" s="1"/>
  <c r="K185" i="1"/>
  <c r="K172" i="1" s="1"/>
  <c r="K184" i="1"/>
  <c r="K183" i="1"/>
  <c r="K182" i="1"/>
  <c r="K181" i="1"/>
  <c r="K180" i="1"/>
  <c r="K179" i="1"/>
  <c r="K178" i="1"/>
  <c r="K177" i="1"/>
  <c r="K176" i="1"/>
  <c r="K175" i="1"/>
  <c r="K166" i="1"/>
  <c r="K165" i="1" s="1"/>
  <c r="K164" i="1"/>
  <c r="K162" i="1"/>
  <c r="K161" i="1" s="1"/>
  <c r="K160" i="1"/>
  <c r="K153" i="1"/>
  <c r="K150" i="1" s="1"/>
  <c r="K152" i="1"/>
  <c r="K149" i="1" s="1"/>
  <c r="K146" i="1"/>
  <c r="K145" i="1" s="1"/>
  <c r="K144" i="1"/>
  <c r="K142" i="1"/>
  <c r="K141" i="1" s="1"/>
  <c r="K140" i="1"/>
  <c r="K135" i="1"/>
  <c r="K131" i="1" s="1"/>
  <c r="K134" i="1"/>
  <c r="K132" i="1"/>
  <c r="K117" i="1"/>
  <c r="K116" i="1"/>
  <c r="K115" i="1"/>
  <c r="K114" i="1"/>
  <c r="K113" i="1"/>
  <c r="K112" i="1"/>
  <c r="K111" i="1"/>
  <c r="K102" i="1"/>
  <c r="K101" i="1"/>
  <c r="K94" i="1"/>
  <c r="K91" i="1" s="1"/>
  <c r="K93" i="1"/>
  <c r="K90" i="1" s="1"/>
  <c r="K83" i="1"/>
  <c r="K82" i="1"/>
  <c r="K77" i="1"/>
  <c r="K76" i="1" s="1"/>
  <c r="K75" i="1"/>
  <c r="K37" i="1"/>
  <c r="K26" i="1" s="1"/>
  <c r="K35" i="1"/>
  <c r="K34" i="1"/>
  <c r="K30" i="1"/>
  <c r="K29" i="1"/>
  <c r="K436" i="1" l="1"/>
  <c r="K355" i="1"/>
  <c r="K12" i="1"/>
  <c r="K360" i="1"/>
  <c r="K319" i="1"/>
  <c r="K287" i="1"/>
  <c r="K171" i="1"/>
  <c r="K80" i="1"/>
  <c r="K11" i="1"/>
  <c r="K6" i="1"/>
  <c r="K316" i="1"/>
  <c r="K321" i="1"/>
  <c r="K318" i="1"/>
  <c r="K473" i="1"/>
  <c r="K10" i="1"/>
  <c r="K508" i="1"/>
  <c r="K25" i="1"/>
  <c r="K130" i="1"/>
  <c r="K169" i="1"/>
  <c r="K354" i="1"/>
  <c r="K174" i="1"/>
  <c r="K356" i="1"/>
  <c r="K359" i="1"/>
  <c r="K449" i="1"/>
  <c r="K408" i="1"/>
  <c r="K496" i="1"/>
  <c r="K420" i="1"/>
  <c r="K472" i="1"/>
  <c r="K474" i="1"/>
  <c r="K448" i="1"/>
  <c r="K450" i="1"/>
  <c r="K421" i="1"/>
  <c r="K100" i="1"/>
  <c r="K110" i="1"/>
  <c r="K170" i="1"/>
  <c r="K270" i="1"/>
  <c r="K297" i="1"/>
  <c r="K109" i="1"/>
  <c r="K24" i="1"/>
  <c r="K20" i="1" l="1"/>
  <c r="K17" i="1"/>
  <c r="K21" i="1" l="1"/>
</calcChain>
</file>

<file path=xl/sharedStrings.xml><?xml version="1.0" encoding="utf-8"?>
<sst xmlns="http://schemas.openxmlformats.org/spreadsheetml/2006/main" count="2098" uniqueCount="216">
  <si>
    <t xml:space="preserve">076   MINISTARSTVO PROSTORNOGA UREĐENJA, GRADITELJSTVA I DRŽAVNE IMOVINE  </t>
  </si>
  <si>
    <t>PRIJEDLOG PRORAČUNA ZA 2021</t>
  </si>
  <si>
    <t>IZVOR</t>
  </si>
  <si>
    <t>K</t>
  </si>
  <si>
    <t>x</t>
  </si>
  <si>
    <t>OPĆI PRIHODI I PRIMICI</t>
  </si>
  <si>
    <t>SREDSTVA UČEŠĆA ZA POMOĆI</t>
  </si>
  <si>
    <t>SREDSTVA UČEŠĆA ZA ZAJMOVE</t>
  </si>
  <si>
    <t>L</t>
  </si>
  <si>
    <t>OSTALI PRIHODI ZA POSEBNE NAMJENE</t>
  </si>
  <si>
    <t>POMOĆI EU</t>
  </si>
  <si>
    <t>OSTALE POMOĆI</t>
  </si>
  <si>
    <t>EUROPSKI FOND ZA REGIONALNI RAZVOJ</t>
  </si>
  <si>
    <t>FOND SOLIDARNOSTI</t>
  </si>
  <si>
    <t>DONACIJE</t>
  </si>
  <si>
    <t>T</t>
  </si>
  <si>
    <t xml:space="preserve"> </t>
  </si>
  <si>
    <r>
      <t xml:space="preserve">EUROPSKI FOND ZA REGIONALNI RAZVOJ </t>
    </r>
    <r>
      <rPr>
        <b/>
        <sz val="10"/>
        <color rgb="FFFF0000"/>
        <rFont val="Times New Roman"/>
        <family val="1"/>
        <charset val="238"/>
      </rPr>
      <t>skupina konta 51</t>
    </r>
  </si>
  <si>
    <t xml:space="preserve">ZAJAM </t>
  </si>
  <si>
    <t>POD LIMITOM     (11, 12, 13, 83)</t>
  </si>
  <si>
    <t>07605                            ZADANI LIMIT U RIZNICI</t>
  </si>
  <si>
    <t>07605                                                  RAZLIKA</t>
  </si>
  <si>
    <t>07605                                                        UKUPNO</t>
  </si>
  <si>
    <t>A</t>
  </si>
  <si>
    <t>A576007</t>
  </si>
  <si>
    <t>ADMINISTRACIJA I UPRAVLJANJE  PROSTORNIM UREĐENJEM I GRADITELJSTVOM</t>
  </si>
  <si>
    <t>Rashodi za zaposlene</t>
  </si>
  <si>
    <t>Materijalni rashodi</t>
  </si>
  <si>
    <t>Financijski rashodi</t>
  </si>
  <si>
    <t>Ostali rashodi</t>
  </si>
  <si>
    <t>Rashodi za nabavu proizvedene dugotrajne imovine</t>
  </si>
  <si>
    <t>Plaće (Bruto)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</si>
  <si>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</si>
  <si>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</si>
  <si>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</si>
  <si>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</si>
  <si>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</si>
  <si>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</si>
  <si>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</si>
  <si>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Ostali financijski rashodi</t>
  </si>
  <si>
    <t>Kazne, penali i naknade štete</t>
  </si>
  <si>
    <t>Građevinski objekti</t>
  </si>
  <si>
    <t>Plaće za redovan rad</t>
  </si>
  <si>
    <t>Plaće za prekovremeni rad</t>
  </si>
  <si>
    <t>Doprinosi za obvezno zdravstveno osiguranje</t>
  </si>
  <si>
    <t>Doprinosi za obav. osig. u slučaju nezaposlenosti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</si>
  <si>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</si>
  <si>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</si>
  <si>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</si>
  <si>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</si>
  <si>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</si>
  <si>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 xml:space="preserve">Materijal i sirovine                                  </t>
  </si>
  <si>
    <t xml:space="preserve">Energija                                                         </t>
  </si>
  <si>
    <t>Materijal i dijelovi za tekuće i investicijsko održavanje</t>
  </si>
  <si>
    <t>Sitni inventar i auto gume</t>
  </si>
  <si>
    <t>Službena, radna i zaštitna odjeća i obuća</t>
  </si>
  <si>
    <t xml:space="preserve">Usluge telefona, pošte i prijevoza               </t>
  </si>
  <si>
    <t>Usluge promidžbe i informiranja</t>
  </si>
  <si>
    <t xml:space="preserve">Komunalne usluge                                     </t>
  </si>
  <si>
    <t>Zakupnine i najamnine</t>
  </si>
  <si>
    <t>Zdravstvene i veterinarske usluge</t>
  </si>
  <si>
    <t xml:space="preserve">Intelektualne i osobne usluge                      </t>
  </si>
  <si>
    <t xml:space="preserve">Ostale usluge                                           </t>
  </si>
  <si>
    <t>Naknada za rad predst. i izvrš. tijela, povjerenstava  i sl.</t>
  </si>
  <si>
    <t>Premije osiguranja</t>
  </si>
  <si>
    <t>Reprezentacija</t>
  </si>
  <si>
    <t>Članarine</t>
  </si>
  <si>
    <t>Pristojbe i naknade</t>
  </si>
  <si>
    <t>Troškovi sudskih postupaka</t>
  </si>
  <si>
    <t>Bankarske usluge i usluge platnog prometa</t>
  </si>
  <si>
    <t>Zatezne kamate</t>
  </si>
  <si>
    <t>Ostali nespomenuti financijski rashodi</t>
  </si>
  <si>
    <t xml:space="preserve">Naknade šteta pravnim i fizičkim osobama </t>
  </si>
  <si>
    <t>Građevinski obkjekti</t>
  </si>
  <si>
    <t>Poslovni objekti</t>
  </si>
  <si>
    <t>A576056</t>
  </si>
  <si>
    <t>STRUČNO - ANALITIČKI, UPRAVNI I NORMATIVNI POSLOVI GRADITELJSTVA I USKLAĐIVANJE SA ZAKONODAVSTVOM EU</t>
  </si>
  <si>
    <t>Nematerijalna proizvedena imovina</t>
  </si>
  <si>
    <t>Usluge tekućeg i investicijskog održavanja</t>
  </si>
  <si>
    <t>Ulaganja u računalne programe</t>
  </si>
  <si>
    <t>A576150</t>
  </si>
  <si>
    <t>DJELOVANJE NA UNAPREĐENJU PROSTORNOG UREĐENJA</t>
  </si>
  <si>
    <t>Pomoći dane u inozemstvo i unutar općeg proračuna</t>
  </si>
  <si>
    <t>Pomoći unutar općeg proračuna</t>
  </si>
  <si>
    <t>Tekuće donacije</t>
  </si>
  <si>
    <t>Računalne usluge</t>
  </si>
  <si>
    <t>Ostale usluge</t>
  </si>
  <si>
    <t>Tekuće pomoći unutar opće države</t>
  </si>
  <si>
    <t>Tekuće donacije u novcu</t>
  </si>
  <si>
    <t>A576181</t>
  </si>
  <si>
    <t>ODRŽAVANJE VOZNOG PARKA</t>
  </si>
  <si>
    <t>Energija</t>
  </si>
  <si>
    <t>A576187</t>
  </si>
  <si>
    <t>STRUČNI ISPITI I DRUGE AKTIVNOSTI OVLAŠĆIVANJA FIZIČKIH I PRAVNIH OSOBA</t>
  </si>
  <si>
    <t>Postrojenja i oprema</t>
  </si>
  <si>
    <t>Uredska oprema i namještaj</t>
  </si>
  <si>
    <t>Uređaji, strojevi i oprema za ostale namjene</t>
  </si>
  <si>
    <t>A576190</t>
  </si>
  <si>
    <t>TEHNIČKI PREGLEDI</t>
  </si>
  <si>
    <t>Rashodi za nabavu neproizvedene dugotrajne imovine</t>
  </si>
  <si>
    <t>Nematerijalna imovina</t>
  </si>
  <si>
    <t>Licence</t>
  </si>
  <si>
    <t>A576192</t>
  </si>
  <si>
    <t>PRAĆENJE UPRAVNOG POSTUPANJA I DONOŠENJE RJEŠENJA</t>
  </si>
  <si>
    <t>A576199</t>
  </si>
  <si>
    <t>PROSTORNO UREĐENJE PODRUČJA NASELJENIH ROMIMA</t>
  </si>
  <si>
    <t>A576256</t>
  </si>
  <si>
    <t>UNAPREĐENJE STANOVANJA I KOMUNALNOG GOSPODARSTVA</t>
  </si>
  <si>
    <t>Kapitalne pomoći unutar općeg proračuna</t>
  </si>
  <si>
    <t>Intelektualne i osobne usluge</t>
  </si>
  <si>
    <t>A576270</t>
  </si>
  <si>
    <t>EUROPSKA TERITORIJALNA SURADNJA – MEĐUREGIONALNI PROGRAM ESPON</t>
  </si>
  <si>
    <t>A538050</t>
  </si>
  <si>
    <t>ZADRŽAVANJE NEZAKONITO IZGRAĐENIH ZGRADA</t>
  </si>
  <si>
    <t>Naknade građanima i kućanstvima na temelju osiguranja i druge naknade</t>
  </si>
  <si>
    <t>Pomoći proračunskim korisnicima drugih proračuna</t>
  </si>
  <si>
    <t>Prijenosi između proračunskih korisnika istog proračuna</t>
  </si>
  <si>
    <t>Ostale naknade građanima i kućanstvima iz proračuna</t>
  </si>
  <si>
    <t>Materijal i sirovine</t>
  </si>
  <si>
    <t>Komunalne usluge</t>
  </si>
  <si>
    <t>Kapitalne pomoći unutar opće države</t>
  </si>
  <si>
    <t>Tekuće pomoći proračunskim korisnicima drugih proračuna</t>
  </si>
  <si>
    <t>Komunikacijska oprema</t>
  </si>
  <si>
    <t>A538051</t>
  </si>
  <si>
    <r>
      <rPr>
        <b/>
        <sz val="9.85"/>
        <rFont val="Times New Roman"/>
        <family val="1"/>
        <charset val="238"/>
      </rPr>
      <t>NADZOR NAD RADOM  OVLAŠTENIH OSOBA</t>
    </r>
    <r>
      <rPr>
        <b/>
        <sz val="9.85"/>
        <color indexed="8"/>
        <rFont val="Times New Roman"/>
        <family val="1"/>
      </rPr>
      <t xml:space="preserve"> ZA PROVOĐENJE ENERGETSKIH PREGLEDA I ENERGETSKO CERTIFICIRANJE</t>
    </r>
  </si>
  <si>
    <t>A538053</t>
  </si>
  <si>
    <t>A538065</t>
  </si>
  <si>
    <t>EUROPSKA TERITORIJALNA SURADNJA – MEĐUREGIONALNI PROGRAM URBACT</t>
  </si>
  <si>
    <t>A538067</t>
  </si>
  <si>
    <t>IZDAVANJE DOZVOLA ZA ZAHVATE U PROSTORU I GRAĐEVINE</t>
  </si>
  <si>
    <t>K576155</t>
  </si>
  <si>
    <t>OPREMANJE ZGRADA</t>
  </si>
  <si>
    <t xml:space="preserve">Usluge tekućeg i investicijskog održavanja </t>
  </si>
  <si>
    <t>Oprema za održavanje i zaštitu</t>
  </si>
  <si>
    <t>K576157</t>
  </si>
  <si>
    <t>INFORMATIZACIJA UPRAVE</t>
  </si>
  <si>
    <t>T538061</t>
  </si>
  <si>
    <t>PROVEDBA PROJEKTA INTELIGENTNA ENERGIJA EUROPE (EPBD-CA)</t>
  </si>
  <si>
    <t>Plaće (bruto)</t>
  </si>
  <si>
    <t>A538071</t>
  </si>
  <si>
    <t>PROCJENA VRIJEDNOSTI NEKRETNINA</t>
  </si>
  <si>
    <t xml:space="preserve">Računalne usluge   </t>
  </si>
  <si>
    <t>T538072</t>
  </si>
  <si>
    <t xml:space="preserve">OPERATIVNI PROGRAM KONKURENTNOST I KOHEZIJA 2014.-2020.  </t>
  </si>
  <si>
    <t>T538072.002</t>
  </si>
  <si>
    <t>OPERATIVNI PROGRAM KONKURENTNOST I KOHEZIJA 2014.-2020.  - ENERGETSKA OBNOVA ZGRADA</t>
  </si>
  <si>
    <t>Usluge telefona, pošte i prijevoza</t>
  </si>
  <si>
    <t xml:space="preserve">Usluge promidžbe i informiranja </t>
  </si>
  <si>
    <t>Izdaci za dane zajmove i depozite</t>
  </si>
  <si>
    <t>Pomoći temeljem prijenosa EU sredstava</t>
  </si>
  <si>
    <t>Kapitalne donacije</t>
  </si>
  <si>
    <t xml:space="preserve">Izdaci za depozite i jamčevne pologe </t>
  </si>
  <si>
    <t>Kapitalne pomoći temeljem prijenosa EU sredstava</t>
  </si>
  <si>
    <t>Kapitalni prijenosi između proračunskih korisnika istog proračuna temeljem prijenosa EU sredstava</t>
  </si>
  <si>
    <t>Kapitalne donacije iz EU sredstava</t>
  </si>
  <si>
    <t>Izdaci za depozite u kreditnim i ostalim financijskim institucijama - tuzemni</t>
  </si>
  <si>
    <t>T538072.001</t>
  </si>
  <si>
    <t>OPK 2014.-2020.  - POTPROGRAM- MJERA 11</t>
  </si>
  <si>
    <t>A538075</t>
  </si>
  <si>
    <t>INFORMACIJSKI SUSTAV PROSTORNOG UREĐENJA - ISPU</t>
  </si>
  <si>
    <t xml:space="preserve">INFORMACIJSKI SUSTAV PROSTORNOG UREĐENJA - ISPU </t>
  </si>
  <si>
    <t>A576151</t>
  </si>
  <si>
    <t>IZRADA I PRAĆENJE PROVEDBE DOKUMENATA PROSTORNOG UREĐENJA</t>
  </si>
  <si>
    <t>Kapitalne pomoći proračunskim korisnicima drugih proračuna</t>
  </si>
  <si>
    <t>K576116</t>
  </si>
  <si>
    <t>PRAĆENJE STANJA U PROSTORU I PODRŠKA RAZVOJA ISPU</t>
  </si>
  <si>
    <t>A538084</t>
  </si>
  <si>
    <t>RAZVOJ MEĐUNARODNE I EU SURADNJE</t>
  </si>
  <si>
    <t>A538083</t>
  </si>
  <si>
    <t>APOLITIKA - ARHITEKTONSKE POLITIKE</t>
  </si>
  <si>
    <t xml:space="preserve">Članarine </t>
  </si>
  <si>
    <t>A538085</t>
  </si>
  <si>
    <t>PROVEDBA MEĐUNARODNIH OBVEZA RH NA PODRUČJU PROSTORNOG UREĐENJA</t>
  </si>
  <si>
    <t>K576118</t>
  </si>
  <si>
    <t>SANACIJA OSJEČKE TVRĐE</t>
  </si>
  <si>
    <t>A538086</t>
  </si>
  <si>
    <t>MONITORING KLIZIŠTA U REPUBLICI HRVATSKOJ</t>
  </si>
  <si>
    <t>Instrumenti, uređaji i strojevi</t>
  </si>
  <si>
    <t>Kazne, penali i naknada šteta</t>
  </si>
  <si>
    <t>Naknade građanima i kućanstvima u naravi</t>
  </si>
  <si>
    <t>K538089</t>
  </si>
  <si>
    <t>PROJEKT OBNOVE  NAKON POTRESA I JAČANJA PRIPRAVNOSTI JAVNOG ZDRAVSTVA (ZAJAM BROJ 9127-HR)</t>
  </si>
  <si>
    <t>Službeno putovanje</t>
  </si>
  <si>
    <t xml:space="preserve">Usluge telefona, pošte i prijevoza </t>
  </si>
  <si>
    <t>Naknada štete pravnim i fizičkim osobama</t>
  </si>
  <si>
    <t>A538088</t>
  </si>
  <si>
    <t>PRIPREMA I PRAĆENJE INVESTICIJSKIH PROJEKATA OD VAŽNOSTI ZA RH</t>
  </si>
  <si>
    <t>A915006</t>
  </si>
  <si>
    <t>K915005</t>
  </si>
  <si>
    <t>OPERATIVNI PROGRAM "KONKURENTNOST I KOHEZIJA 2014.-2020."</t>
  </si>
  <si>
    <t>Doprinosi za obvzeno zdravstveno osiguranje</t>
  </si>
  <si>
    <t>07605   MINISTARSTVO PROSTORNOGA UREĐENJA, GRADITELJSTVA I DRŽAVNE IMOVINE</t>
  </si>
  <si>
    <t>ADMINISTRACIJA I UPRAVLJANJE  MINISTARSTVOM</t>
  </si>
  <si>
    <t>Tekući prijenosi između proračunskih korisnika istog proračuna</t>
  </si>
  <si>
    <t>ENERGETSKA OBNOVA ZGRADA - NPOO</t>
  </si>
  <si>
    <t>MEHANIZAM ZA OPORAVAK I OTPORNOST</t>
  </si>
  <si>
    <t>DRUGI IZVORI    (43, 51, 52, 61, 563, 576, 581)</t>
  </si>
  <si>
    <t xml:space="preserve">FINANCIRANJE NAJAMNINA ZA STAMBENO ZBRINJVANJE OSOBA ČIJE SU NEKRETNINE STRADALE U POTRESU </t>
  </si>
  <si>
    <t xml:space="preserve"> OBNOVA ZGRADA JAVNE NAMJENE</t>
  </si>
  <si>
    <t>SANACIJA KLIZIŠTA NA ZEMLJIŠTU U VLASNIŠTVU REPUBLIKE HRVATSKE</t>
  </si>
  <si>
    <t>Tekuće pomoći temeljem prijenosa EU sredstava</t>
  </si>
  <si>
    <t>JAČANJE POVEZIVOSTI KAO OSNOVE DIGITALNE TRANZICIJE DRUŠTVA I GOSPODARSTVA - NPOO</t>
  </si>
  <si>
    <t>A915009</t>
  </si>
  <si>
    <t>A915011</t>
  </si>
  <si>
    <t>A915012</t>
  </si>
  <si>
    <t>UPRAVLJANJE I RASPOLAGANJE NEKRETNINAMA U VLASNIŠTVU REPUBLIKE HRVATSKE</t>
  </si>
  <si>
    <t>A915014</t>
  </si>
  <si>
    <t>A915015</t>
  </si>
  <si>
    <t>UNAPREĐENJE SUSTAVA PROSTORNOGA UREĐENJA, GRADITELJSTVA I DRŽAVNE IMOVINE KROZ DIGITALIZACIJU - NPOO</t>
  </si>
  <si>
    <t xml:space="preserve">PRUŽANJE PRIVREMENOG SMJEŠTAJA RADI POKRIVANJA POTREBA STANOVNIŠTVA POGOĐENOG POTRESOM </t>
  </si>
  <si>
    <t>A915016</t>
  </si>
  <si>
    <t>A915013</t>
  </si>
  <si>
    <t xml:space="preserve">Stručno usavršavanje zaposlenika </t>
  </si>
  <si>
    <t xml:space="preserve">Intelektualne i osobne usluge </t>
  </si>
  <si>
    <t xml:space="preserve">ENERGETSKA UČINKOVITOST I AŽURIRANJE BAZA PODATAKA </t>
  </si>
  <si>
    <t>NOVI PLAN 2021 REBALANS         (NN 69/2021)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</si>
</sst>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Arial"/>
      <family val="2"/>
    </font>
    <font>
      <b/>
      <sz val="8"/>
      <name val="Times New Roman"/>
      <family val="1"/>
    </font>
    <font>
      <sz val="7"/>
      <name val="Arial"/>
      <family val="2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7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9.85"/>
      <color indexed="8"/>
      <name val="Times New Roman"/>
      <family val="1"/>
    </font>
    <font>
      <sz val="9.85"/>
      <color indexed="8"/>
      <name val="Times New Roman"/>
      <family val="1"/>
    </font>
    <font>
      <sz val="9"/>
      <color indexed="8"/>
      <name val="Times New Roman"/>
      <family val="1"/>
    </font>
    <font>
      <sz val="9.85"/>
      <color indexed="8"/>
      <name val="Times New Roman"/>
      <family val="1"/>
      <charset val="238"/>
    </font>
    <font>
      <sz val="10"/>
      <name val="Times New Roman"/>
      <family val="1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9"/>
      <name val="Times New Roman"/>
      <family val="1"/>
    </font>
    <font>
      <b/>
      <sz val="9.85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indexed="9"/>
      <name val="Times New Roman"/>
      <family val="1"/>
    </font>
    <font>
      <b/>
      <sz val="8"/>
      <color indexed="9"/>
      <name val="Times New Roman"/>
      <family val="1"/>
    </font>
    <font>
      <b/>
      <sz val="11"/>
      <name val="Times New Roman"/>
      <family val="1"/>
    </font>
    <font>
      <b/>
      <sz val="10"/>
      <color rgb="FFFF0000"/>
      <name val="Times New Roman"/>
      <family val="1"/>
      <charset val="238"/>
    </font>
    <font>
      <b/>
      <sz val="9.85"/>
      <name val="Times New Roman"/>
      <family val="1"/>
      <charset val="238"/>
    </font>
    <font>
      <sz val="9.85"/>
      <name val="Times New Roman"/>
      <family val="1"/>
      <charset val="238"/>
    </font>
    <font>
      <sz val="9.85"/>
      <name val="Times New Roman"/>
      <family val="1"/>
    </font>
    <font>
      <sz val="10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7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1" fillId="2" borderId="0" applyNumberFormat="0" applyBorder="0" applyAlignment="0" applyProtection="0"/>
    <xf numFmtId="0" fontId="20" fillId="0" borderId="0" applyBorder="0"/>
  </cellStyleXfs>
  <cellXfs count="453">
    <xf numFmtId="0" fontId="0" fillId="0" borderId="0" xfId="0"/>
    <xf numFmtId="0" fontId="14" fillId="0" borderId="2" xfId="1" applyFont="1" applyBorder="1" applyAlignment="1">
      <alignment vertical="center"/>
    </xf>
    <xf numFmtId="0" fontId="8" fillId="12" borderId="4" xfId="1" applyFont="1" applyFill="1" applyBorder="1" applyAlignment="1">
      <alignment horizontal="center" vertical="center" wrapText="1"/>
    </xf>
    <xf numFmtId="0" fontId="8" fillId="12" borderId="1" xfId="1" applyFont="1" applyFill="1" applyBorder="1" applyAlignment="1">
      <alignment vertical="center" wrapText="1"/>
    </xf>
    <xf numFmtId="0" fontId="8" fillId="12" borderId="2" xfId="1" applyFont="1" applyFill="1" applyBorder="1" applyAlignment="1">
      <alignment vertical="center" wrapText="1"/>
    </xf>
    <xf numFmtId="0" fontId="8" fillId="12" borderId="3" xfId="1" applyFont="1" applyFill="1" applyBorder="1" applyAlignment="1">
      <alignment vertical="center" wrapText="1"/>
    </xf>
    <xf numFmtId="0" fontId="15" fillId="12" borderId="3" xfId="1" applyNumberFormat="1" applyFont="1" applyFill="1" applyBorder="1" applyAlignment="1">
      <alignment vertical="center" wrapText="1"/>
    </xf>
    <xf numFmtId="0" fontId="14" fillId="0" borderId="4" xfId="1" applyFont="1" applyBorder="1" applyAlignment="1">
      <alignment horizontal="center" vertical="center"/>
    </xf>
    <xf numFmtId="0" fontId="14" fillId="0" borderId="1" xfId="1" applyFont="1" applyBorder="1" applyAlignment="1">
      <alignment vertical="center"/>
    </xf>
    <xf numFmtId="0" fontId="14" fillId="0" borderId="1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4" fillId="0" borderId="6" xfId="1" applyFont="1" applyBorder="1" applyAlignment="1">
      <alignment vertical="center"/>
    </xf>
    <xf numFmtId="0" fontId="16" fillId="0" borderId="4" xfId="1" applyNumberFormat="1" applyFont="1" applyBorder="1" applyAlignment="1">
      <alignment vertical="center" wrapText="1"/>
    </xf>
    <xf numFmtId="0" fontId="14" fillId="0" borderId="4" xfId="1" applyFont="1" applyBorder="1" applyAlignment="1">
      <alignment vertical="center"/>
    </xf>
    <xf numFmtId="0" fontId="14" fillId="0" borderId="11" xfId="1" applyFont="1" applyBorder="1" applyAlignment="1">
      <alignment vertical="center"/>
    </xf>
    <xf numFmtId="0" fontId="14" fillId="0" borderId="9" xfId="1" applyFont="1" applyBorder="1" applyAlignment="1">
      <alignment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vertical="center"/>
    </xf>
    <xf numFmtId="0" fontId="14" fillId="0" borderId="11" xfId="1" applyFont="1" applyFill="1" applyBorder="1" applyAlignment="1">
      <alignment vertical="center"/>
    </xf>
    <xf numFmtId="0" fontId="14" fillId="0" borderId="9" xfId="1" applyFont="1" applyFill="1" applyBorder="1" applyAlignment="1">
      <alignment vertical="center"/>
    </xf>
    <xf numFmtId="0" fontId="14" fillId="0" borderId="4" xfId="1" applyFont="1" applyFill="1" applyBorder="1" applyAlignment="1">
      <alignment vertical="center"/>
    </xf>
    <xf numFmtId="0" fontId="16" fillId="0" borderId="4" xfId="1" applyNumberFormat="1" applyFont="1" applyFill="1" applyBorder="1" applyAlignment="1">
      <alignment vertical="center" wrapText="1"/>
    </xf>
    <xf numFmtId="0" fontId="14" fillId="0" borderId="7" xfId="1" applyFont="1" applyBorder="1" applyAlignment="1">
      <alignment vertical="center"/>
    </xf>
    <xf numFmtId="0" fontId="14" fillId="0" borderId="5" xfId="1" applyFont="1" applyBorder="1" applyAlignment="1">
      <alignment vertical="center"/>
    </xf>
    <xf numFmtId="0" fontId="16" fillId="0" borderId="4" xfId="1" applyNumberFormat="1" applyFont="1" applyBorder="1" applyAlignment="1">
      <alignment vertical="center"/>
    </xf>
    <xf numFmtId="0" fontId="14" fillId="0" borderId="3" xfId="1" applyFont="1" applyBorder="1" applyAlignment="1">
      <alignment vertical="center"/>
    </xf>
    <xf numFmtId="0" fontId="14" fillId="0" borderId="12" xfId="1" applyFont="1" applyBorder="1" applyAlignment="1">
      <alignment vertical="center"/>
    </xf>
    <xf numFmtId="0" fontId="5" fillId="0" borderId="4" xfId="1" applyNumberFormat="1" applyFont="1" applyFill="1" applyBorder="1" applyAlignment="1"/>
    <xf numFmtId="0" fontId="18" fillId="0" borderId="4" xfId="1" applyNumberFormat="1" applyFont="1" applyFill="1" applyBorder="1" applyAlignment="1">
      <alignment vertical="center" wrapText="1"/>
    </xf>
    <xf numFmtId="0" fontId="8" fillId="13" borderId="4" xfId="1" applyFont="1" applyFill="1" applyBorder="1" applyAlignment="1">
      <alignment horizontal="center" vertical="center" wrapText="1"/>
    </xf>
    <xf numFmtId="0" fontId="8" fillId="13" borderId="1" xfId="1" applyFont="1" applyFill="1" applyBorder="1" applyAlignment="1">
      <alignment vertical="center" wrapText="1"/>
    </xf>
    <xf numFmtId="0" fontId="8" fillId="13" borderId="2" xfId="1" applyFont="1" applyFill="1" applyBorder="1" applyAlignment="1">
      <alignment vertical="center" wrapText="1"/>
    </xf>
    <xf numFmtId="0" fontId="8" fillId="13" borderId="3" xfId="1" applyFont="1" applyFill="1" applyBorder="1" applyAlignment="1">
      <alignment vertical="center" wrapText="1"/>
    </xf>
    <xf numFmtId="0" fontId="4" fillId="13" borderId="4" xfId="1" applyFont="1" applyFill="1" applyBorder="1" applyAlignment="1">
      <alignment horizontal="center" vertical="center" wrapText="1"/>
    </xf>
    <xf numFmtId="0" fontId="11" fillId="13" borderId="1" xfId="1" applyFont="1" applyFill="1" applyBorder="1" applyAlignment="1">
      <alignment vertical="center" wrapText="1"/>
    </xf>
    <xf numFmtId="0" fontId="11" fillId="13" borderId="2" xfId="1" applyFont="1" applyFill="1" applyBorder="1" applyAlignment="1">
      <alignment vertical="center" wrapText="1"/>
    </xf>
    <xf numFmtId="0" fontId="11" fillId="13" borderId="3" xfId="1" applyFont="1" applyFill="1" applyBorder="1" applyAlignment="1">
      <alignment vertical="center" wrapText="1"/>
    </xf>
    <xf numFmtId="0" fontId="5" fillId="0" borderId="4" xfId="1" applyFont="1" applyBorder="1" applyAlignment="1">
      <alignment horizontal="center" wrapText="1"/>
    </xf>
    <xf numFmtId="0" fontId="3" fillId="0" borderId="4" xfId="1" applyFont="1" applyBorder="1" applyAlignment="1">
      <alignment wrapText="1"/>
    </xf>
    <xf numFmtId="0" fontId="3" fillId="0" borderId="5" xfId="1" applyFont="1" applyBorder="1" applyAlignment="1">
      <alignment wrapText="1"/>
    </xf>
    <xf numFmtId="0" fontId="5" fillId="0" borderId="4" xfId="1" applyFont="1" applyBorder="1" applyAlignment="1">
      <alignment wrapText="1"/>
    </xf>
    <xf numFmtId="0" fontId="3" fillId="0" borderId="1" xfId="1" applyFont="1" applyBorder="1" applyAlignment="1">
      <alignment wrapText="1"/>
    </xf>
    <xf numFmtId="0" fontId="3" fillId="0" borderId="2" xfId="1" applyFont="1" applyBorder="1" applyAlignment="1">
      <alignment wrapText="1"/>
    </xf>
    <xf numFmtId="0" fontId="15" fillId="13" borderId="3" xfId="1" applyNumberFormat="1" applyFont="1" applyFill="1" applyBorder="1" applyAlignment="1">
      <alignment vertical="center" wrapText="1"/>
    </xf>
    <xf numFmtId="0" fontId="4" fillId="12" borderId="4" xfId="1" applyFont="1" applyFill="1" applyBorder="1" applyAlignment="1">
      <alignment horizontal="center" vertical="center" wrapText="1"/>
    </xf>
    <xf numFmtId="0" fontId="11" fillId="12" borderId="1" xfId="1" applyFont="1" applyFill="1" applyBorder="1" applyAlignment="1">
      <alignment vertical="center" wrapText="1"/>
    </xf>
    <xf numFmtId="0" fontId="11" fillId="12" borderId="2" xfId="1" applyFont="1" applyFill="1" applyBorder="1" applyAlignment="1">
      <alignment vertical="center" wrapText="1"/>
    </xf>
    <xf numFmtId="0" fontId="11" fillId="12" borderId="3" xfId="1" applyFont="1" applyFill="1" applyBorder="1" applyAlignment="1">
      <alignment vertical="center" wrapText="1"/>
    </xf>
    <xf numFmtId="0" fontId="10" fillId="12" borderId="3" xfId="1" applyFont="1" applyFill="1" applyBorder="1" applyAlignment="1">
      <alignment vertical="center" wrapText="1"/>
    </xf>
    <xf numFmtId="0" fontId="15" fillId="13" borderId="14" xfId="1" applyNumberFormat="1" applyFont="1" applyFill="1" applyBorder="1" applyAlignment="1">
      <alignment vertical="center" wrapText="1"/>
    </xf>
    <xf numFmtId="0" fontId="18" fillId="0" borderId="6" xfId="1" applyNumberFormat="1" applyFont="1" applyBorder="1" applyAlignment="1">
      <alignment vertical="center" wrapText="1"/>
    </xf>
    <xf numFmtId="0" fontId="14" fillId="0" borderId="14" xfId="1" applyFont="1" applyBorder="1" applyAlignment="1">
      <alignment vertical="center"/>
    </xf>
    <xf numFmtId="0" fontId="16" fillId="0" borderId="4" xfId="1" applyNumberFormat="1" applyFont="1" applyFill="1" applyBorder="1" applyAlignment="1">
      <alignment vertical="center"/>
    </xf>
    <xf numFmtId="0" fontId="14" fillId="0" borderId="4" xfId="1" applyFont="1" applyFill="1" applyBorder="1" applyAlignment="1">
      <alignment horizontal="center" vertical="center" wrapText="1"/>
    </xf>
    <xf numFmtId="0" fontId="14" fillId="0" borderId="7" xfId="1" applyFont="1" applyFill="1" applyBorder="1" applyAlignment="1">
      <alignment vertical="center" wrapText="1"/>
    </xf>
    <xf numFmtId="0" fontId="14" fillId="0" borderId="5" xfId="1" applyFont="1" applyFill="1" applyBorder="1" applyAlignment="1">
      <alignment vertical="center" wrapText="1"/>
    </xf>
    <xf numFmtId="0" fontId="5" fillId="0" borderId="3" xfId="1" applyFont="1" applyBorder="1"/>
    <xf numFmtId="0" fontId="14" fillId="0" borderId="8" xfId="1" applyFont="1" applyBorder="1" applyAlignment="1">
      <alignment vertical="center"/>
    </xf>
    <xf numFmtId="0" fontId="11" fillId="12" borderId="1" xfId="1" applyFont="1" applyFill="1" applyBorder="1" applyAlignment="1">
      <alignment vertical="center"/>
    </xf>
    <xf numFmtId="0" fontId="11" fillId="12" borderId="2" xfId="1" applyFont="1" applyFill="1" applyBorder="1" applyAlignment="1">
      <alignment vertical="center"/>
    </xf>
    <xf numFmtId="0" fontId="11" fillId="12" borderId="3" xfId="1" applyFont="1" applyFill="1" applyBorder="1" applyAlignment="1">
      <alignment vertical="center"/>
    </xf>
    <xf numFmtId="0" fontId="4" fillId="12" borderId="3" xfId="1" applyFont="1" applyFill="1" applyBorder="1" applyAlignment="1">
      <alignment vertical="center" wrapText="1"/>
    </xf>
    <xf numFmtId="0" fontId="3" fillId="0" borderId="4" xfId="1" applyFont="1" applyBorder="1" applyAlignment="1"/>
    <xf numFmtId="0" fontId="3" fillId="0" borderId="7" xfId="1" applyFont="1" applyBorder="1" applyAlignment="1"/>
    <xf numFmtId="0" fontId="3" fillId="0" borderId="5" xfId="1" applyFont="1" applyBorder="1" applyAlignment="1"/>
    <xf numFmtId="0" fontId="4" fillId="12" borderId="4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/>
    </xf>
    <xf numFmtId="0" fontId="9" fillId="0" borderId="2" xfId="0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textRotation="90" wrapText="1"/>
    </xf>
    <xf numFmtId="0" fontId="9" fillId="0" borderId="5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10" fillId="0" borderId="5" xfId="0" applyNumberFormat="1" applyFont="1" applyFill="1" applyBorder="1" applyAlignment="1">
      <alignment vertical="center" wrapText="1"/>
    </xf>
    <xf numFmtId="1" fontId="11" fillId="0" borderId="5" xfId="0" applyNumberFormat="1" applyFont="1" applyFill="1" applyBorder="1" applyAlignment="1">
      <alignment horizontal="center" vertical="center" wrapText="1"/>
    </xf>
    <xf numFmtId="1" fontId="11" fillId="4" borderId="5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textRotation="90" wrapText="1"/>
    </xf>
    <xf numFmtId="0" fontId="4" fillId="0" borderId="5" xfId="0" applyNumberFormat="1" applyFont="1" applyFill="1" applyBorder="1" applyAlignment="1">
      <alignment vertical="center" wrapText="1"/>
    </xf>
    <xf numFmtId="1" fontId="11" fillId="3" borderId="5" xfId="0" applyNumberFormat="1" applyFont="1" applyFill="1" applyBorder="1" applyAlignment="1">
      <alignment horizontal="center" vertical="center" wrapText="1"/>
    </xf>
    <xf numFmtId="1" fontId="11" fillId="6" borderId="5" xfId="0" applyNumberFormat="1" applyFont="1" applyFill="1" applyBorder="1" applyAlignment="1">
      <alignment horizontal="center" vertical="center" wrapText="1"/>
    </xf>
    <xf numFmtId="1" fontId="11" fillId="7" borderId="5" xfId="0" applyNumberFormat="1" applyFont="1" applyFill="1" applyBorder="1" applyAlignment="1">
      <alignment horizontal="center" vertical="center" wrapText="1"/>
    </xf>
    <xf numFmtId="1" fontId="11" fillId="8" borderId="5" xfId="0" applyNumberFormat="1" applyFont="1" applyFill="1" applyBorder="1" applyAlignment="1">
      <alignment horizontal="center" vertical="center" wrapText="1"/>
    </xf>
    <xf numFmtId="1" fontId="11" fillId="5" borderId="5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0" fillId="0" borderId="2" xfId="0" applyBorder="1" applyAlignment="1"/>
    <xf numFmtId="0" fontId="4" fillId="6" borderId="2" xfId="0" applyFont="1" applyFill="1" applyBorder="1"/>
    <xf numFmtId="1" fontId="3" fillId="6" borderId="2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0" fillId="0" borderId="5" xfId="0" applyFill="1" applyBorder="1" applyAlignment="1"/>
    <xf numFmtId="0" fontId="7" fillId="0" borderId="5" xfId="0" applyFont="1" applyFill="1" applyBorder="1" applyAlignment="1">
      <alignment vertical="center" wrapText="1"/>
    </xf>
    <xf numFmtId="0" fontId="22" fillId="11" borderId="5" xfId="0" applyFont="1" applyFill="1" applyBorder="1" applyAlignment="1">
      <alignment horizontal="right" vertical="center" wrapText="1"/>
    </xf>
    <xf numFmtId="1" fontId="3" fillId="11" borderId="5" xfId="0" applyNumberFormat="1" applyFont="1" applyFill="1" applyBorder="1" applyAlignment="1">
      <alignment horizontal="center"/>
    </xf>
    <xf numFmtId="0" fontId="22" fillId="0" borderId="5" xfId="0" applyFont="1" applyFill="1" applyBorder="1" applyAlignment="1">
      <alignment horizontal="right" vertical="center" wrapText="1"/>
    </xf>
    <xf numFmtId="1" fontId="3" fillId="0" borderId="5" xfId="0" applyNumberFormat="1" applyFont="1" applyFill="1" applyBorder="1" applyAlignment="1">
      <alignment horizontal="center"/>
    </xf>
    <xf numFmtId="0" fontId="4" fillId="6" borderId="5" xfId="0" applyNumberFormat="1" applyFont="1" applyFill="1" applyBorder="1" applyAlignment="1">
      <alignment vertical="center" wrapText="1"/>
    </xf>
    <xf numFmtId="1" fontId="11" fillId="6" borderId="5" xfId="0" applyNumberFormat="1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/>
    </xf>
    <xf numFmtId="0" fontId="3" fillId="0" borderId="2" xfId="0" applyFont="1" applyBorder="1" applyAlignment="1"/>
    <xf numFmtId="0" fontId="4" fillId="0" borderId="2" xfId="0" applyNumberFormat="1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/>
    </xf>
    <xf numFmtId="0" fontId="14" fillId="0" borderId="4" xfId="0" applyFont="1" applyBorder="1" applyAlignment="1">
      <alignment vertical="center"/>
    </xf>
    <xf numFmtId="1" fontId="11" fillId="9" borderId="5" xfId="0" applyNumberFormat="1" applyFont="1" applyFill="1" applyBorder="1" applyAlignment="1">
      <alignment horizontal="center" vertical="center" wrapText="1"/>
    </xf>
    <xf numFmtId="0" fontId="11" fillId="13" borderId="7" xfId="0" applyFont="1" applyFill="1" applyBorder="1" applyAlignment="1">
      <alignment vertical="center" wrapText="1"/>
    </xf>
    <xf numFmtId="0" fontId="11" fillId="13" borderId="5" xfId="0" applyFont="1" applyFill="1" applyBorder="1" applyAlignment="1">
      <alignment vertical="center" wrapText="1"/>
    </xf>
    <xf numFmtId="0" fontId="4" fillId="13" borderId="8" xfId="0" applyFont="1" applyFill="1" applyBorder="1" applyAlignment="1">
      <alignment vertical="center" wrapText="1"/>
    </xf>
    <xf numFmtId="0" fontId="11" fillId="13" borderId="4" xfId="0" applyFont="1" applyFill="1" applyBorder="1" applyAlignment="1">
      <alignment vertical="center" wrapText="1"/>
    </xf>
    <xf numFmtId="0" fontId="11" fillId="13" borderId="3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1" fillId="13" borderId="4" xfId="0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" fontId="11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1" fontId="11" fillId="0" borderId="1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wrapText="1"/>
    </xf>
    <xf numFmtId="1" fontId="11" fillId="8" borderId="1" xfId="1" applyNumberFormat="1" applyFont="1" applyFill="1" applyBorder="1" applyAlignment="1">
      <alignment horizontal="center" vertical="center" wrapText="1"/>
    </xf>
    <xf numFmtId="1" fontId="11" fillId="12" borderId="1" xfId="1" applyNumberFormat="1" applyFont="1" applyFill="1" applyBorder="1" applyAlignment="1">
      <alignment horizontal="center" vertical="center" wrapText="1"/>
    </xf>
    <xf numFmtId="1" fontId="11" fillId="6" borderId="1" xfId="1" applyNumberFormat="1" applyFont="1" applyFill="1" applyBorder="1" applyAlignment="1" applyProtection="1">
      <alignment horizontal="center" vertical="center" wrapText="1"/>
    </xf>
    <xf numFmtId="1" fontId="3" fillId="6" borderId="1" xfId="1" applyNumberFormat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 vertical="center" wrapText="1"/>
    </xf>
    <xf numFmtId="1" fontId="11" fillId="0" borderId="1" xfId="1" applyNumberFormat="1" applyFont="1" applyFill="1" applyBorder="1" applyAlignment="1">
      <alignment horizontal="center" vertical="center"/>
    </xf>
    <xf numFmtId="1" fontId="11" fillId="10" borderId="1" xfId="0" applyNumberFormat="1" applyFont="1" applyFill="1" applyBorder="1" applyAlignment="1">
      <alignment horizontal="center" vertical="center" wrapText="1"/>
    </xf>
    <xf numFmtId="1" fontId="3" fillId="10" borderId="1" xfId="0" applyNumberFormat="1" applyFont="1" applyFill="1" applyBorder="1" applyAlignment="1">
      <alignment horizontal="center" vertical="center"/>
    </xf>
    <xf numFmtId="3" fontId="6" fillId="14" borderId="4" xfId="0" applyNumberFormat="1" applyFont="1" applyFill="1" applyBorder="1" applyAlignment="1">
      <alignment vertical="center"/>
    </xf>
    <xf numFmtId="0" fontId="22" fillId="14" borderId="2" xfId="0" applyFont="1" applyFill="1" applyBorder="1" applyAlignment="1">
      <alignment horizontal="right" vertical="center" wrapText="1"/>
    </xf>
    <xf numFmtId="3" fontId="25" fillId="0" borderId="4" xfId="0" applyNumberFormat="1" applyFont="1" applyBorder="1"/>
    <xf numFmtId="0" fontId="12" fillId="14" borderId="1" xfId="0" applyFont="1" applyFill="1" applyBorder="1" applyAlignment="1">
      <alignment horizontal="center" vertical="center" textRotation="90" wrapText="1"/>
    </xf>
    <xf numFmtId="0" fontId="4" fillId="14" borderId="3" xfId="0" applyNumberFormat="1" applyFont="1" applyFill="1" applyBorder="1" applyAlignment="1">
      <alignment vertical="center" wrapText="1"/>
    </xf>
    <xf numFmtId="3" fontId="6" fillId="13" borderId="4" xfId="1" applyNumberFormat="1" applyFont="1" applyFill="1" applyBorder="1" applyAlignment="1" applyProtection="1">
      <alignment vertical="center"/>
    </xf>
    <xf numFmtId="3" fontId="6" fillId="12" borderId="4" xfId="1" applyNumberFormat="1" applyFont="1" applyFill="1" applyBorder="1" applyAlignment="1" applyProtection="1">
      <alignment vertical="center"/>
    </xf>
    <xf numFmtId="0" fontId="26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4" fontId="13" fillId="0" borderId="0" xfId="0" applyNumberFormat="1" applyFont="1" applyBorder="1" applyAlignment="1">
      <alignment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9" fillId="14" borderId="2" xfId="0" applyFont="1" applyFill="1" applyBorder="1" applyAlignment="1">
      <alignment horizontal="center" vertical="center" textRotation="90" wrapText="1"/>
    </xf>
    <xf numFmtId="0" fontId="7" fillId="14" borderId="2" xfId="0" applyFont="1" applyFill="1" applyBorder="1" applyAlignment="1">
      <alignment vertical="center" wrapText="1"/>
    </xf>
    <xf numFmtId="0" fontId="7" fillId="14" borderId="2" xfId="0" applyFont="1" applyFill="1" applyBorder="1" applyAlignment="1">
      <alignment horizontal="center" vertical="center" textRotation="90" wrapText="1"/>
    </xf>
    <xf numFmtId="1" fontId="11" fillId="14" borderId="2" xfId="0" applyNumberFormat="1" applyFont="1" applyFill="1" applyBorder="1" applyAlignment="1">
      <alignment horizontal="center" vertical="center" wrapText="1"/>
    </xf>
    <xf numFmtId="0" fontId="16" fillId="0" borderId="3" xfId="1" applyNumberFormat="1" applyFont="1" applyBorder="1" applyAlignment="1">
      <alignment vertical="center"/>
    </xf>
    <xf numFmtId="0" fontId="14" fillId="0" borderId="12" xfId="1" applyFont="1" applyFill="1" applyBorder="1" applyAlignment="1">
      <alignment vertical="center"/>
    </xf>
    <xf numFmtId="1" fontId="3" fillId="0" borderId="4" xfId="1" applyNumberFormat="1" applyFont="1" applyFill="1" applyBorder="1" applyAlignment="1">
      <alignment horizontal="center" vertical="center"/>
    </xf>
    <xf numFmtId="0" fontId="14" fillId="15" borderId="1" xfId="1" applyFont="1" applyFill="1" applyBorder="1" applyAlignment="1">
      <alignment vertical="center"/>
    </xf>
    <xf numFmtId="0" fontId="14" fillId="15" borderId="2" xfId="1" applyFont="1" applyFill="1" applyBorder="1" applyAlignment="1">
      <alignment vertical="center"/>
    </xf>
    <xf numFmtId="0" fontId="14" fillId="15" borderId="4" xfId="1" applyFont="1" applyFill="1" applyBorder="1" applyAlignment="1">
      <alignment vertical="center"/>
    </xf>
    <xf numFmtId="0" fontId="14" fillId="0" borderId="2" xfId="1" applyFont="1" applyFill="1" applyBorder="1" applyAlignment="1">
      <alignment vertical="center"/>
    </xf>
    <xf numFmtId="0" fontId="14" fillId="0" borderId="3" xfId="1" applyFont="1" applyFill="1" applyBorder="1" applyAlignment="1">
      <alignment vertical="center"/>
    </xf>
    <xf numFmtId="0" fontId="3" fillId="0" borderId="8" xfId="1" applyFont="1" applyBorder="1" applyAlignment="1"/>
    <xf numFmtId="0" fontId="11" fillId="15" borderId="4" xfId="1" applyFont="1" applyFill="1" applyBorder="1" applyAlignment="1">
      <alignment horizontal="center" vertical="center"/>
    </xf>
    <xf numFmtId="0" fontId="11" fillId="15" borderId="4" xfId="1" applyFont="1" applyFill="1" applyBorder="1" applyAlignment="1">
      <alignment vertical="center"/>
    </xf>
    <xf numFmtId="0" fontId="3" fillId="0" borderId="1" xfId="1" applyFont="1" applyBorder="1" applyAlignment="1"/>
    <xf numFmtId="0" fontId="3" fillId="0" borderId="4" xfId="1" applyFont="1" applyFill="1" applyBorder="1" applyAlignment="1">
      <alignment vertical="center"/>
    </xf>
    <xf numFmtId="0" fontId="3" fillId="0" borderId="4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14" fillId="0" borderId="7" xfId="1" applyFont="1" applyFill="1" applyBorder="1" applyAlignment="1">
      <alignment vertical="center"/>
    </xf>
    <xf numFmtId="0" fontId="5" fillId="0" borderId="4" xfId="1" applyFont="1" applyFill="1" applyBorder="1" applyAlignment="1">
      <alignment horizontal="center" wrapText="1"/>
    </xf>
    <xf numFmtId="0" fontId="3" fillId="0" borderId="4" xfId="1" applyFont="1" applyFill="1" applyBorder="1" applyAlignment="1">
      <alignment wrapText="1"/>
    </xf>
    <xf numFmtId="0" fontId="3" fillId="0" borderId="11" xfId="1" applyFont="1" applyFill="1" applyBorder="1" applyAlignment="1">
      <alignment wrapText="1"/>
    </xf>
    <xf numFmtId="0" fontId="3" fillId="0" borderId="9" xfId="1" applyFont="1" applyFill="1" applyBorder="1" applyAlignment="1">
      <alignment wrapText="1"/>
    </xf>
    <xf numFmtId="0" fontId="19" fillId="0" borderId="12" xfId="1" applyFont="1" applyFill="1" applyBorder="1" applyAlignment="1">
      <alignment vertical="center"/>
    </xf>
    <xf numFmtId="0" fontId="16" fillId="0" borderId="3" xfId="1" applyNumberFormat="1" applyFont="1" applyFill="1" applyBorder="1" applyAlignment="1">
      <alignment vertical="center" wrapText="1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0" fontId="16" fillId="0" borderId="3" xfId="1" applyNumberFormat="1" applyFont="1" applyFill="1" applyBorder="1" applyAlignment="1">
      <alignment vertical="center"/>
    </xf>
    <xf numFmtId="3" fontId="6" fillId="12" borderId="1" xfId="1" applyNumberFormat="1" applyFont="1" applyFill="1" applyBorder="1" applyAlignment="1" applyProtection="1">
      <alignment vertical="center"/>
    </xf>
    <xf numFmtId="3" fontId="6" fillId="13" borderId="1" xfId="1" applyNumberFormat="1" applyFont="1" applyFill="1" applyBorder="1" applyAlignment="1" applyProtection="1">
      <alignment vertical="center"/>
    </xf>
    <xf numFmtId="3" fontId="24" fillId="0" borderId="1" xfId="1" applyNumberFormat="1" applyFont="1" applyFill="1" applyBorder="1" applyAlignment="1">
      <alignment vertical="center"/>
    </xf>
    <xf numFmtId="3" fontId="6" fillId="6" borderId="1" xfId="0" applyNumberFormat="1" applyFont="1" applyFill="1" applyBorder="1" applyAlignment="1">
      <alignment vertical="center"/>
    </xf>
    <xf numFmtId="0" fontId="11" fillId="17" borderId="1" xfId="1" applyFont="1" applyFill="1" applyBorder="1" applyAlignment="1">
      <alignment vertical="center"/>
    </xf>
    <xf numFmtId="0" fontId="11" fillId="17" borderId="2" xfId="1" applyFont="1" applyFill="1" applyBorder="1" applyAlignment="1">
      <alignment vertical="center"/>
    </xf>
    <xf numFmtId="0" fontId="11" fillId="17" borderId="3" xfId="1" applyFont="1" applyFill="1" applyBorder="1" applyAlignment="1">
      <alignment vertical="center"/>
    </xf>
    <xf numFmtId="0" fontId="4" fillId="17" borderId="4" xfId="1" applyFont="1" applyFill="1" applyBorder="1" applyAlignment="1">
      <alignment horizontal="center" vertical="center"/>
    </xf>
    <xf numFmtId="0" fontId="4" fillId="17" borderId="2" xfId="1" applyFont="1" applyFill="1" applyBorder="1" applyAlignment="1">
      <alignment vertical="center" wrapText="1"/>
    </xf>
    <xf numFmtId="3" fontId="24" fillId="0" borderId="4" xfId="1" applyNumberFormat="1" applyFont="1" applyFill="1" applyBorder="1" applyAlignment="1">
      <alignment vertical="center"/>
    </xf>
    <xf numFmtId="0" fontId="31" fillId="0" borderId="3" xfId="1" applyNumberFormat="1" applyFont="1" applyBorder="1" applyAlignment="1">
      <alignment vertical="center" wrapText="1"/>
    </xf>
    <xf numFmtId="0" fontId="14" fillId="0" borderId="6" xfId="1" applyFont="1" applyFill="1" applyBorder="1" applyAlignment="1">
      <alignment vertical="center"/>
    </xf>
    <xf numFmtId="0" fontId="5" fillId="0" borderId="3" xfId="1" applyFont="1" applyFill="1" applyBorder="1"/>
    <xf numFmtId="0" fontId="14" fillId="0" borderId="1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4" fillId="0" borderId="5" xfId="1" applyFont="1" applyFill="1" applyBorder="1" applyAlignment="1">
      <alignment vertical="center"/>
    </xf>
    <xf numFmtId="0" fontId="14" fillId="0" borderId="8" xfId="1" applyFont="1" applyFill="1" applyBorder="1" applyAlignment="1">
      <alignment vertical="center"/>
    </xf>
    <xf numFmtId="0" fontId="30" fillId="12" borderId="3" xfId="1" applyNumberFormat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3" fillId="0" borderId="3" xfId="1" applyFont="1" applyBorder="1" applyAlignment="1">
      <alignment wrapText="1"/>
    </xf>
    <xf numFmtId="0" fontId="23" fillId="15" borderId="4" xfId="1" applyNumberFormat="1" applyFont="1" applyFill="1" applyBorder="1" applyAlignment="1">
      <alignment vertical="center" wrapText="1"/>
    </xf>
    <xf numFmtId="1" fontId="3" fillId="6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31" fillId="0" borderId="4" xfId="1" applyNumberFormat="1" applyFont="1" applyFill="1" applyBorder="1" applyAlignment="1">
      <alignment vertical="center" wrapText="1"/>
    </xf>
    <xf numFmtId="0" fontId="14" fillId="0" borderId="14" xfId="1" applyFont="1" applyFill="1" applyBorder="1" applyAlignment="1">
      <alignment vertical="center"/>
    </xf>
    <xf numFmtId="0" fontId="5" fillId="0" borderId="3" xfId="1" applyNumberFormat="1" applyFont="1" applyFill="1" applyBorder="1" applyAlignment="1"/>
    <xf numFmtId="0" fontId="5" fillId="0" borderId="4" xfId="1" applyFont="1" applyFill="1" applyBorder="1" applyAlignment="1">
      <alignment horizontal="center"/>
    </xf>
    <xf numFmtId="0" fontId="3" fillId="0" borderId="4" xfId="1" applyFont="1" applyFill="1" applyBorder="1" applyAlignment="1"/>
    <xf numFmtId="0" fontId="18" fillId="0" borderId="3" xfId="1" applyNumberFormat="1" applyFont="1" applyFill="1" applyBorder="1" applyAlignment="1">
      <alignment vertical="center" wrapText="1"/>
    </xf>
    <xf numFmtId="0" fontId="33" fillId="0" borderId="4" xfId="0" applyFont="1" applyFill="1" applyBorder="1"/>
    <xf numFmtId="0" fontId="33" fillId="0" borderId="3" xfId="0" applyFont="1" applyFill="1" applyBorder="1"/>
    <xf numFmtId="0" fontId="3" fillId="0" borderId="7" xfId="1" applyFont="1" applyFill="1" applyBorder="1" applyAlignment="1"/>
    <xf numFmtId="0" fontId="3" fillId="0" borderId="5" xfId="1" applyFont="1" applyFill="1" applyBorder="1" applyAlignment="1"/>
    <xf numFmtId="0" fontId="3" fillId="0" borderId="3" xfId="1" applyFont="1" applyFill="1" applyBorder="1" applyAlignment="1"/>
    <xf numFmtId="0" fontId="16" fillId="0" borderId="2" xfId="1" applyNumberFormat="1" applyFont="1" applyFill="1" applyBorder="1" applyAlignment="1">
      <alignment vertical="center"/>
    </xf>
    <xf numFmtId="3" fontId="25" fillId="0" borderId="4" xfId="0" applyNumberFormat="1" applyFont="1" applyFill="1" applyBorder="1"/>
    <xf numFmtId="0" fontId="3" fillId="0" borderId="7" xfId="1" applyFont="1" applyFill="1" applyBorder="1" applyAlignment="1">
      <alignment wrapText="1"/>
    </xf>
    <xf numFmtId="0" fontId="3" fillId="0" borderId="5" xfId="1" applyFont="1" applyFill="1" applyBorder="1" applyAlignment="1">
      <alignment wrapText="1"/>
    </xf>
    <xf numFmtId="1" fontId="3" fillId="0" borderId="1" xfId="1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3" fillId="0" borderId="2" xfId="1" applyFont="1" applyFill="1" applyBorder="1" applyAlignment="1">
      <alignment wrapText="1"/>
    </xf>
    <xf numFmtId="3" fontId="6" fillId="6" borderId="1" xfId="0" applyNumberFormat="1" applyFont="1" applyFill="1" applyBorder="1" applyAlignment="1"/>
    <xf numFmtId="3" fontId="6" fillId="11" borderId="1" xfId="0" applyNumberFormat="1" applyFont="1" applyFill="1" applyBorder="1" applyAlignment="1">
      <alignment vertical="center"/>
    </xf>
    <xf numFmtId="3" fontId="6" fillId="14" borderId="4" xfId="0" applyNumberFormat="1" applyFont="1" applyFill="1" applyBorder="1"/>
    <xf numFmtId="3" fontId="34" fillId="0" borderId="4" xfId="0" applyNumberFormat="1" applyFont="1" applyBorder="1"/>
    <xf numFmtId="1" fontId="11" fillId="18" borderId="5" xfId="0" applyNumberFormat="1" applyFont="1" applyFill="1" applyBorder="1" applyAlignment="1">
      <alignment horizontal="center" vertical="center" wrapText="1"/>
    </xf>
    <xf numFmtId="3" fontId="24" fillId="0" borderId="4" xfId="0" applyNumberFormat="1" applyFont="1" applyBorder="1"/>
    <xf numFmtId="0" fontId="3" fillId="0" borderId="3" xfId="1" applyFont="1" applyFill="1" applyBorder="1" applyAlignment="1">
      <alignment vertical="center"/>
    </xf>
    <xf numFmtId="0" fontId="3" fillId="0" borderId="4" xfId="1" applyFont="1" applyFill="1" applyBorder="1" applyAlignment="1">
      <alignment horizontal="center" vertical="center"/>
    </xf>
    <xf numFmtId="0" fontId="16" fillId="0" borderId="8" xfId="1" applyNumberFormat="1" applyFont="1" applyFill="1" applyBorder="1" applyAlignment="1">
      <alignment vertical="center" wrapText="1"/>
    </xf>
    <xf numFmtId="3" fontId="24" fillId="0" borderId="4" xfId="1" applyNumberFormat="1" applyFont="1" applyFill="1" applyBorder="1" applyAlignment="1">
      <alignment vertical="center" wrapText="1"/>
    </xf>
    <xf numFmtId="3" fontId="24" fillId="0" borderId="4" xfId="0" applyNumberFormat="1" applyFont="1" applyFill="1" applyBorder="1"/>
    <xf numFmtId="0" fontId="31" fillId="0" borderId="3" xfId="1" applyNumberFormat="1" applyFont="1" applyFill="1" applyBorder="1" applyAlignment="1">
      <alignment vertical="center"/>
    </xf>
    <xf numFmtId="3" fontId="24" fillId="0" borderId="1" xfId="0" applyNumberFormat="1" applyFont="1" applyBorder="1"/>
    <xf numFmtId="1" fontId="3" fillId="8" borderId="5" xfId="0" applyNumberFormat="1" applyFont="1" applyFill="1" applyBorder="1" applyAlignment="1">
      <alignment horizontal="center" vertical="center" wrapText="1"/>
    </xf>
    <xf numFmtId="1" fontId="11" fillId="8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1" fontId="3" fillId="3" borderId="5" xfId="0" applyNumberFormat="1" applyFont="1" applyFill="1" applyBorder="1" applyAlignment="1">
      <alignment horizontal="center" vertical="center" wrapText="1"/>
    </xf>
    <xf numFmtId="1" fontId="3" fillId="18" borderId="5" xfId="0" applyNumberFormat="1" applyFont="1" applyFill="1" applyBorder="1" applyAlignment="1">
      <alignment horizontal="center" vertical="center" wrapText="1"/>
    </xf>
    <xf numFmtId="1" fontId="11" fillId="6" borderId="1" xfId="1" applyNumberFormat="1" applyFont="1" applyFill="1" applyBorder="1" applyAlignment="1">
      <alignment horizontal="center"/>
    </xf>
    <xf numFmtId="1" fontId="3" fillId="8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/>
    </xf>
    <xf numFmtId="3" fontId="3" fillId="0" borderId="4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/>
    <xf numFmtId="0" fontId="31" fillId="0" borderId="3" xfId="1" applyNumberFormat="1" applyFont="1" applyFill="1" applyBorder="1" applyAlignment="1">
      <alignment vertical="center" wrapText="1"/>
    </xf>
    <xf numFmtId="0" fontId="23" fillId="12" borderId="3" xfId="1" applyNumberFormat="1" applyFont="1" applyFill="1" applyBorder="1" applyAlignment="1">
      <alignment vertical="center" wrapText="1"/>
    </xf>
    <xf numFmtId="0" fontId="5" fillId="0" borderId="4" xfId="1" applyFont="1" applyFill="1" applyBorder="1" applyAlignment="1">
      <alignment wrapText="1"/>
    </xf>
    <xf numFmtId="0" fontId="34" fillId="0" borderId="0" xfId="0" applyFont="1"/>
    <xf numFmtId="0" fontId="34" fillId="0" borderId="1" xfId="0" applyFont="1" applyBorder="1"/>
    <xf numFmtId="3" fontId="28" fillId="12" borderId="3" xfId="1" applyNumberFormat="1" applyFont="1" applyFill="1" applyBorder="1" applyAlignment="1">
      <alignment vertical="center" wrapText="1"/>
    </xf>
    <xf numFmtId="3" fontId="6" fillId="12" borderId="1" xfId="1" applyNumberFormat="1" applyFont="1" applyFill="1" applyBorder="1" applyAlignment="1">
      <alignment vertical="center"/>
    </xf>
    <xf numFmtId="3" fontId="6" fillId="15" borderId="1" xfId="0" applyNumberFormat="1" applyFont="1" applyFill="1" applyBorder="1"/>
    <xf numFmtId="3" fontId="6" fillId="17" borderId="1" xfId="1" applyNumberFormat="1" applyFont="1" applyFill="1" applyBorder="1" applyAlignment="1">
      <alignment vertical="center"/>
    </xf>
    <xf numFmtId="3" fontId="24" fillId="0" borderId="0" xfId="0" applyNumberFormat="1" applyFont="1" applyBorder="1"/>
    <xf numFmtId="3" fontId="6" fillId="13" borderId="1" xfId="1" applyNumberFormat="1" applyFont="1" applyFill="1" applyBorder="1" applyAlignment="1">
      <alignment vertical="center"/>
    </xf>
    <xf numFmtId="3" fontId="34" fillId="0" borderId="1" xfId="0" applyNumberFormat="1" applyFont="1" applyBorder="1"/>
    <xf numFmtId="1" fontId="11" fillId="0" borderId="4" xfId="1" applyNumberFormat="1" applyFont="1" applyFill="1" applyBorder="1" applyAlignment="1">
      <alignment horizontal="center" vertical="center"/>
    </xf>
    <xf numFmtId="3" fontId="24" fillId="0" borderId="1" xfId="0" applyNumberFormat="1" applyFont="1" applyFill="1" applyBorder="1"/>
    <xf numFmtId="3" fontId="25" fillId="0" borderId="1" xfId="0" applyNumberFormat="1" applyFont="1" applyFill="1" applyBorder="1"/>
    <xf numFmtId="0" fontId="32" fillId="0" borderId="8" xfId="1" applyNumberFormat="1" applyFont="1" applyFill="1" applyBorder="1" applyAlignment="1">
      <alignment vertical="center" wrapText="1"/>
    </xf>
    <xf numFmtId="1" fontId="14" fillId="0" borderId="1" xfId="1" applyNumberFormat="1" applyFont="1" applyFill="1" applyBorder="1" applyAlignment="1">
      <alignment horizontal="center"/>
    </xf>
    <xf numFmtId="0" fontId="32" fillId="0" borderId="3" xfId="1" applyNumberFormat="1" applyFont="1" applyFill="1" applyBorder="1" applyAlignment="1">
      <alignment vertical="center" wrapText="1"/>
    </xf>
    <xf numFmtId="0" fontId="4" fillId="13" borderId="3" xfId="1" applyFont="1" applyFill="1" applyBorder="1" applyAlignment="1">
      <alignment vertical="center" wrapText="1"/>
    </xf>
    <xf numFmtId="3" fontId="6" fillId="14" borderId="1" xfId="0" applyNumberFormat="1" applyFont="1" applyFill="1" applyBorder="1" applyAlignment="1">
      <alignment vertical="center"/>
    </xf>
    <xf numFmtId="3" fontId="6" fillId="14" borderId="1" xfId="0" applyNumberFormat="1" applyFont="1" applyFill="1" applyBorder="1"/>
    <xf numFmtId="0" fontId="3" fillId="19" borderId="4" xfId="1" applyFont="1" applyFill="1" applyBorder="1" applyAlignment="1">
      <alignment horizontal="center" vertical="center" wrapText="1"/>
    </xf>
    <xf numFmtId="0" fontId="3" fillId="19" borderId="1" xfId="1" applyFont="1" applyFill="1" applyBorder="1" applyAlignment="1">
      <alignment vertical="center" wrapText="1"/>
    </xf>
    <xf numFmtId="0" fontId="8" fillId="19" borderId="1" xfId="1" applyFont="1" applyFill="1" applyBorder="1" applyAlignment="1">
      <alignment vertical="center" wrapText="1"/>
    </xf>
    <xf numFmtId="0" fontId="8" fillId="19" borderId="2" xfId="1" applyFont="1" applyFill="1" applyBorder="1" applyAlignment="1">
      <alignment vertical="center" wrapText="1"/>
    </xf>
    <xf numFmtId="0" fontId="8" fillId="19" borderId="3" xfId="1" applyFont="1" applyFill="1" applyBorder="1" applyAlignment="1">
      <alignment vertical="center" wrapText="1"/>
    </xf>
    <xf numFmtId="0" fontId="15" fillId="19" borderId="3" xfId="1" applyNumberFormat="1" applyFont="1" applyFill="1" applyBorder="1" applyAlignment="1">
      <alignment vertical="center" wrapText="1"/>
    </xf>
    <xf numFmtId="3" fontId="6" fillId="19" borderId="1" xfId="1" applyNumberFormat="1" applyFont="1" applyFill="1" applyBorder="1" applyAlignment="1" applyProtection="1">
      <alignment vertical="center"/>
    </xf>
    <xf numFmtId="3" fontId="6" fillId="19" borderId="4" xfId="1" applyNumberFormat="1" applyFont="1" applyFill="1" applyBorder="1" applyAlignment="1" applyProtection="1">
      <alignment vertical="center"/>
    </xf>
    <xf numFmtId="0" fontId="14" fillId="19" borderId="4" xfId="1" applyFont="1" applyFill="1" applyBorder="1" applyAlignment="1">
      <alignment horizontal="center" vertical="center"/>
    </xf>
    <xf numFmtId="0" fontId="14" fillId="19" borderId="1" xfId="1" applyFont="1" applyFill="1" applyBorder="1" applyAlignment="1">
      <alignment vertical="center"/>
    </xf>
    <xf numFmtId="0" fontId="8" fillId="19" borderId="4" xfId="1" applyFont="1" applyFill="1" applyBorder="1" applyAlignment="1">
      <alignment vertical="center" wrapText="1"/>
    </xf>
    <xf numFmtId="1" fontId="3" fillId="8" borderId="4" xfId="0" applyNumberFormat="1" applyFont="1" applyFill="1" applyBorder="1" applyAlignment="1">
      <alignment horizontal="center" vertical="center" wrapText="1"/>
    </xf>
    <xf numFmtId="3" fontId="28" fillId="19" borderId="3" xfId="1" applyNumberFormat="1" applyFont="1" applyFill="1" applyBorder="1" applyAlignment="1">
      <alignment vertical="center" wrapText="1"/>
    </xf>
    <xf numFmtId="0" fontId="8" fillId="19" borderId="7" xfId="1" applyFont="1" applyFill="1" applyBorder="1" applyAlignment="1">
      <alignment vertical="center" wrapText="1"/>
    </xf>
    <xf numFmtId="0" fontId="8" fillId="19" borderId="5" xfId="1" applyFont="1" applyFill="1" applyBorder="1" applyAlignment="1">
      <alignment vertical="center" wrapText="1"/>
    </xf>
    <xf numFmtId="0" fontId="8" fillId="19" borderId="8" xfId="1" applyFont="1" applyFill="1" applyBorder="1" applyAlignment="1">
      <alignment vertical="center" wrapText="1"/>
    </xf>
    <xf numFmtId="3" fontId="6" fillId="19" borderId="1" xfId="1" applyNumberFormat="1" applyFont="1" applyFill="1" applyBorder="1" applyAlignment="1">
      <alignment vertical="center"/>
    </xf>
    <xf numFmtId="3" fontId="6" fillId="19" borderId="4" xfId="1" applyNumberFormat="1" applyFont="1" applyFill="1" applyBorder="1" applyAlignment="1">
      <alignment vertical="center"/>
    </xf>
    <xf numFmtId="0" fontId="15" fillId="19" borderId="8" xfId="1" applyNumberFormat="1" applyFont="1" applyFill="1" applyBorder="1" applyAlignment="1">
      <alignment vertical="center" wrapText="1"/>
    </xf>
    <xf numFmtId="0" fontId="8" fillId="19" borderId="14" xfId="1" applyFont="1" applyFill="1" applyBorder="1" applyAlignment="1">
      <alignment vertical="center" wrapText="1"/>
    </xf>
    <xf numFmtId="0" fontId="5" fillId="19" borderId="4" xfId="1" applyFont="1" applyFill="1" applyBorder="1" applyAlignment="1">
      <alignment horizontal="center"/>
    </xf>
    <xf numFmtId="0" fontId="3" fillId="19" borderId="4" xfId="1" applyFont="1" applyFill="1" applyBorder="1" applyAlignment="1"/>
    <xf numFmtId="0" fontId="11" fillId="19" borderId="7" xfId="1" applyFont="1" applyFill="1" applyBorder="1" applyAlignment="1">
      <alignment vertical="center"/>
    </xf>
    <xf numFmtId="0" fontId="11" fillId="19" borderId="5" xfId="1" applyFont="1" applyFill="1" applyBorder="1" applyAlignment="1">
      <alignment vertical="center"/>
    </xf>
    <xf numFmtId="0" fontId="11" fillId="19" borderId="3" xfId="1" applyFont="1" applyFill="1" applyBorder="1" applyAlignment="1">
      <alignment vertical="center"/>
    </xf>
    <xf numFmtId="0" fontId="11" fillId="19" borderId="8" xfId="1" applyFont="1" applyFill="1" applyBorder="1" applyAlignment="1">
      <alignment vertical="center"/>
    </xf>
    <xf numFmtId="0" fontId="4" fillId="19" borderId="3" xfId="1" applyFont="1" applyFill="1" applyBorder="1" applyAlignment="1">
      <alignment vertical="center" wrapText="1"/>
    </xf>
    <xf numFmtId="0" fontId="3" fillId="19" borderId="1" xfId="1" applyFont="1" applyFill="1" applyBorder="1" applyAlignment="1"/>
    <xf numFmtId="0" fontId="14" fillId="19" borderId="2" xfId="1" applyFont="1" applyFill="1" applyBorder="1" applyAlignment="1">
      <alignment vertical="center"/>
    </xf>
    <xf numFmtId="0" fontId="11" fillId="19" borderId="4" xfId="1" applyFont="1" applyFill="1" applyBorder="1" applyAlignment="1">
      <alignment vertical="center"/>
    </xf>
    <xf numFmtId="0" fontId="23" fillId="19" borderId="4" xfId="1" applyNumberFormat="1" applyFont="1" applyFill="1" applyBorder="1" applyAlignment="1">
      <alignment vertical="center" wrapText="1"/>
    </xf>
    <xf numFmtId="3" fontId="6" fillId="19" borderId="1" xfId="0" applyNumberFormat="1" applyFont="1" applyFill="1" applyBorder="1"/>
    <xf numFmtId="0" fontId="23" fillId="19" borderId="3" xfId="1" applyNumberFormat="1" applyFont="1" applyFill="1" applyBorder="1" applyAlignment="1">
      <alignment vertical="center" wrapText="1"/>
    </xf>
    <xf numFmtId="0" fontId="14" fillId="19" borderId="4" xfId="1" applyFont="1" applyFill="1" applyBorder="1" applyAlignment="1">
      <alignment horizontal="center" vertical="center" wrapText="1"/>
    </xf>
    <xf numFmtId="0" fontId="14" fillId="19" borderId="4" xfId="1" applyFont="1" applyFill="1" applyBorder="1" applyAlignment="1">
      <alignment vertical="center"/>
    </xf>
    <xf numFmtId="0" fontId="30" fillId="19" borderId="3" xfId="1" applyNumberFormat="1" applyFont="1" applyFill="1" applyBorder="1" applyAlignment="1">
      <alignment vertical="center" wrapText="1"/>
    </xf>
    <xf numFmtId="0" fontId="15" fillId="19" borderId="14" xfId="1" applyNumberFormat="1" applyFont="1" applyFill="1" applyBorder="1" applyAlignment="1">
      <alignment vertical="center" wrapText="1"/>
    </xf>
    <xf numFmtId="0" fontId="4" fillId="19" borderId="2" xfId="1" applyFont="1" applyFill="1" applyBorder="1" applyAlignment="1">
      <alignment vertical="center" wrapText="1"/>
    </xf>
    <xf numFmtId="0" fontId="5" fillId="19" borderId="4" xfId="1" applyFont="1" applyFill="1" applyBorder="1" applyAlignment="1">
      <alignment horizontal="center" wrapText="1"/>
    </xf>
    <xf numFmtId="0" fontId="3" fillId="19" borderId="4" xfId="1" applyFont="1" applyFill="1" applyBorder="1" applyAlignment="1">
      <alignment wrapText="1"/>
    </xf>
    <xf numFmtId="0" fontId="11" fillId="19" borderId="7" xfId="1" applyFont="1" applyFill="1" applyBorder="1" applyAlignment="1">
      <alignment vertical="center" wrapText="1"/>
    </xf>
    <xf numFmtId="0" fontId="11" fillId="19" borderId="5" xfId="1" applyFont="1" applyFill="1" applyBorder="1" applyAlignment="1">
      <alignment vertical="center" wrapText="1"/>
    </xf>
    <xf numFmtId="0" fontId="11" fillId="19" borderId="3" xfId="1" applyFont="1" applyFill="1" applyBorder="1" applyAlignment="1">
      <alignment vertical="center" wrapText="1"/>
    </xf>
    <xf numFmtId="0" fontId="11" fillId="19" borderId="8" xfId="1" applyFont="1" applyFill="1" applyBorder="1" applyAlignment="1">
      <alignment vertical="center" wrapText="1"/>
    </xf>
    <xf numFmtId="0" fontId="11" fillId="19" borderId="3" xfId="0" applyFont="1" applyFill="1" applyBorder="1" applyAlignment="1">
      <alignment vertical="center" wrapText="1"/>
    </xf>
    <xf numFmtId="0" fontId="3" fillId="19" borderId="4" xfId="0" applyFont="1" applyFill="1" applyBorder="1" applyAlignment="1">
      <alignment horizontal="center"/>
    </xf>
    <xf numFmtId="0" fontId="11" fillId="19" borderId="7" xfId="0" applyFont="1" applyFill="1" applyBorder="1" applyAlignment="1">
      <alignment vertical="center" wrapText="1"/>
    </xf>
    <xf numFmtId="0" fontId="11" fillId="19" borderId="5" xfId="0" applyFont="1" applyFill="1" applyBorder="1" applyAlignment="1">
      <alignment vertical="center" wrapText="1"/>
    </xf>
    <xf numFmtId="0" fontId="4" fillId="19" borderId="3" xfId="0" applyFont="1" applyFill="1" applyBorder="1" applyAlignment="1">
      <alignment vertical="center" wrapText="1"/>
    </xf>
    <xf numFmtId="0" fontId="11" fillId="19" borderId="8" xfId="0" applyFont="1" applyFill="1" applyBorder="1" applyAlignment="1">
      <alignment vertical="center" wrapText="1"/>
    </xf>
    <xf numFmtId="0" fontId="1" fillId="0" borderId="7" xfId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0" fontId="0" fillId="0" borderId="0" xfId="0" applyBorder="1"/>
    <xf numFmtId="0" fontId="35" fillId="0" borderId="8" xfId="1" applyFont="1" applyBorder="1" applyAlignment="1">
      <alignment textRotation="255" wrapText="1"/>
    </xf>
    <xf numFmtId="0" fontId="16" fillId="0" borderId="13" xfId="1" applyNumberFormat="1" applyFont="1" applyFill="1" applyBorder="1" applyAlignment="1">
      <alignment vertical="center"/>
    </xf>
    <xf numFmtId="3" fontId="5" fillId="0" borderId="1" xfId="1" applyNumberFormat="1" applyFont="1" applyFill="1" applyBorder="1" applyAlignment="1">
      <alignment vertical="center"/>
    </xf>
    <xf numFmtId="0" fontId="5" fillId="0" borderId="4" xfId="1" applyFont="1" applyBorder="1" applyAlignment="1"/>
    <xf numFmtId="0" fontId="16" fillId="0" borderId="13" xfId="1" applyNumberFormat="1" applyFont="1" applyFill="1" applyBorder="1" applyAlignment="1">
      <alignment vertical="center" wrapText="1"/>
    </xf>
    <xf numFmtId="1" fontId="11" fillId="16" borderId="5" xfId="0" applyNumberFormat="1" applyFont="1" applyFill="1" applyBorder="1" applyAlignment="1">
      <alignment horizontal="center" vertical="center" wrapText="1"/>
    </xf>
    <xf numFmtId="1" fontId="11" fillId="0" borderId="1" xfId="1" applyNumberFormat="1" applyFont="1" applyFill="1" applyBorder="1" applyAlignment="1">
      <alignment horizontal="center"/>
    </xf>
    <xf numFmtId="1" fontId="11" fillId="0" borderId="4" xfId="1" applyNumberFormat="1" applyFont="1" applyBorder="1" applyAlignment="1">
      <alignment horizontal="center" vertical="center" wrapText="1"/>
    </xf>
    <xf numFmtId="1" fontId="11" fillId="20" borderId="5" xfId="0" applyNumberFormat="1" applyFont="1" applyFill="1" applyBorder="1" applyAlignment="1">
      <alignment horizontal="center" vertical="center" wrapText="1"/>
    </xf>
    <xf numFmtId="1" fontId="3" fillId="20" borderId="5" xfId="0" applyNumberFormat="1" applyFont="1" applyFill="1" applyBorder="1" applyAlignment="1">
      <alignment horizontal="center" vertical="center" wrapText="1"/>
    </xf>
    <xf numFmtId="0" fontId="8" fillId="21" borderId="4" xfId="1" applyFont="1" applyFill="1" applyBorder="1" applyAlignment="1">
      <alignment horizontal="center" vertical="center" wrapText="1"/>
    </xf>
    <xf numFmtId="0" fontId="8" fillId="21" borderId="1" xfId="1" applyFont="1" applyFill="1" applyBorder="1" applyAlignment="1">
      <alignment vertical="center" wrapText="1"/>
    </xf>
    <xf numFmtId="0" fontId="14" fillId="21" borderId="1" xfId="1" applyFont="1" applyFill="1" applyBorder="1" applyAlignment="1">
      <alignment vertical="center"/>
    </xf>
    <xf numFmtId="0" fontId="14" fillId="21" borderId="2" xfId="1" applyFont="1" applyFill="1" applyBorder="1" applyAlignment="1">
      <alignment vertical="center"/>
    </xf>
    <xf numFmtId="0" fontId="14" fillId="21" borderId="3" xfId="1" applyFont="1" applyFill="1" applyBorder="1" applyAlignment="1">
      <alignment vertical="center"/>
    </xf>
    <xf numFmtId="1" fontId="3" fillId="21" borderId="5" xfId="1" applyNumberFormat="1" applyFont="1" applyFill="1" applyBorder="1" applyAlignment="1">
      <alignment horizontal="center"/>
    </xf>
    <xf numFmtId="0" fontId="23" fillId="21" borderId="3" xfId="1" applyNumberFormat="1" applyFont="1" applyFill="1" applyBorder="1" applyAlignment="1">
      <alignment vertical="center" wrapText="1"/>
    </xf>
    <xf numFmtId="0" fontId="15" fillId="12" borderId="3" xfId="1" applyFont="1" applyFill="1" applyBorder="1" applyAlignment="1">
      <alignment vertical="center" wrapText="1"/>
    </xf>
    <xf numFmtId="3" fontId="11" fillId="0" borderId="4" xfId="0" applyNumberFormat="1" applyFont="1" applyBorder="1" applyAlignment="1">
      <alignment horizontal="center"/>
    </xf>
    <xf numFmtId="0" fontId="16" fillId="0" borderId="4" xfId="1" applyFont="1" applyBorder="1" applyAlignment="1">
      <alignment vertical="center" wrapText="1"/>
    </xf>
    <xf numFmtId="0" fontId="31" fillId="0" borderId="4" xfId="1" applyFont="1" applyBorder="1" applyAlignment="1">
      <alignment vertical="center" wrapText="1"/>
    </xf>
    <xf numFmtId="0" fontId="31" fillId="0" borderId="3" xfId="1" applyFont="1" applyBorder="1" applyAlignment="1">
      <alignment vertical="center" wrapText="1"/>
    </xf>
    <xf numFmtId="0" fontId="16" fillId="0" borderId="4" xfId="0" applyFont="1" applyBorder="1" applyAlignment="1">
      <alignment vertical="center"/>
    </xf>
    <xf numFmtId="3" fontId="39" fillId="21" borderId="1" xfId="0" applyNumberFormat="1" applyFont="1" applyFill="1" applyBorder="1"/>
    <xf numFmtId="3" fontId="6" fillId="19" borderId="3" xfId="1" applyNumberFormat="1" applyFont="1" applyFill="1" applyBorder="1" applyAlignment="1">
      <alignment vertical="center" wrapText="1"/>
    </xf>
    <xf numFmtId="3" fontId="11" fillId="0" borderId="4" xfId="1" applyNumberFormat="1" applyFont="1" applyFill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3" fontId="6" fillId="19" borderId="4" xfId="1" applyNumberFormat="1" applyFont="1" applyFill="1" applyBorder="1" applyAlignment="1">
      <alignment vertical="center" wrapText="1"/>
    </xf>
    <xf numFmtId="3" fontId="11" fillId="13" borderId="1" xfId="1" applyNumberFormat="1" applyFont="1" applyFill="1" applyBorder="1" applyAlignment="1">
      <alignment horizontal="center" vertical="center"/>
    </xf>
    <xf numFmtId="0" fontId="2" fillId="0" borderId="2" xfId="0" applyFont="1" applyBorder="1" applyAlignment="1"/>
    <xf numFmtId="0" fontId="2" fillId="0" borderId="5" xfId="0" applyFont="1" applyFill="1" applyBorder="1" applyAlignment="1"/>
    <xf numFmtId="0" fontId="18" fillId="0" borderId="4" xfId="1" applyNumberFormat="1" applyFont="1" applyBorder="1" applyAlignment="1">
      <alignment vertical="center" wrapText="1"/>
    </xf>
    <xf numFmtId="1" fontId="3" fillId="0" borderId="4" xfId="1" applyNumberFormat="1" applyFont="1" applyFill="1" applyBorder="1" applyAlignment="1">
      <alignment horizontal="center"/>
    </xf>
    <xf numFmtId="0" fontId="11" fillId="19" borderId="4" xfId="1" applyFont="1" applyFill="1" applyBorder="1" applyAlignment="1">
      <alignment vertical="center" wrapText="1"/>
    </xf>
    <xf numFmtId="0" fontId="8" fillId="12" borderId="4" xfId="1" applyFont="1" applyFill="1" applyBorder="1" applyAlignment="1">
      <alignment vertical="center" wrapText="1"/>
    </xf>
    <xf numFmtId="3" fontId="11" fillId="0" borderId="1" xfId="1" applyNumberFormat="1" applyFont="1" applyFill="1" applyBorder="1" applyAlignment="1">
      <alignment horizontal="center" vertical="center"/>
    </xf>
    <xf numFmtId="1" fontId="3" fillId="0" borderId="11" xfId="1" applyNumberFormat="1" applyFont="1" applyBorder="1" applyAlignment="1">
      <alignment horizontal="center"/>
    </xf>
    <xf numFmtId="0" fontId="3" fillId="19" borderId="1" xfId="1" applyFont="1" applyFill="1" applyBorder="1" applyAlignment="1">
      <alignment horizontal="center" vertical="center" wrapText="1"/>
    </xf>
    <xf numFmtId="0" fontId="15" fillId="19" borderId="2" xfId="1" applyNumberFormat="1" applyFont="1" applyFill="1" applyBorder="1" applyAlignment="1">
      <alignment vertical="center" wrapText="1"/>
    </xf>
    <xf numFmtId="0" fontId="14" fillId="0" borderId="1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vertical="center" wrapText="1"/>
    </xf>
    <xf numFmtId="0" fontId="16" fillId="0" borderId="2" xfId="1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8" fillId="0" borderId="2" xfId="1" applyNumberFormat="1" applyFont="1" applyFill="1" applyBorder="1" applyAlignment="1">
      <alignment vertical="center" wrapText="1"/>
    </xf>
    <xf numFmtId="0" fontId="14" fillId="19" borderId="4" xfId="1" applyFont="1" applyFill="1" applyBorder="1" applyAlignment="1">
      <alignment horizontal="left" vertical="center"/>
    </xf>
    <xf numFmtId="3" fontId="6" fillId="12" borderId="4" xfId="1" applyNumberFormat="1" applyFont="1" applyFill="1" applyBorder="1" applyAlignment="1">
      <alignment vertical="center"/>
    </xf>
    <xf numFmtId="3" fontId="6" fillId="13" borderId="4" xfId="1" applyNumberFormat="1" applyFont="1" applyFill="1" applyBorder="1" applyAlignment="1">
      <alignment vertical="center"/>
    </xf>
    <xf numFmtId="0" fontId="8" fillId="20" borderId="4" xfId="1" applyFont="1" applyFill="1" applyBorder="1" applyAlignment="1">
      <alignment horizontal="center" vertical="center" wrapText="1"/>
    </xf>
    <xf numFmtId="0" fontId="8" fillId="20" borderId="1" xfId="1" applyFont="1" applyFill="1" applyBorder="1" applyAlignment="1">
      <alignment vertical="center" wrapText="1"/>
    </xf>
    <xf numFmtId="0" fontId="8" fillId="20" borderId="2" xfId="1" applyFont="1" applyFill="1" applyBorder="1" applyAlignment="1">
      <alignment vertical="center" wrapText="1"/>
    </xf>
    <xf numFmtId="0" fontId="8" fillId="20" borderId="3" xfId="1" applyFont="1" applyFill="1" applyBorder="1" applyAlignment="1">
      <alignment vertical="center" wrapText="1"/>
    </xf>
    <xf numFmtId="0" fontId="15" fillId="20" borderId="3" xfId="1" applyNumberFormat="1" applyFont="1" applyFill="1" applyBorder="1" applyAlignment="1">
      <alignment vertical="center" wrapText="1"/>
    </xf>
    <xf numFmtId="3" fontId="6" fillId="20" borderId="1" xfId="1" applyNumberFormat="1" applyFont="1" applyFill="1" applyBorder="1" applyAlignment="1" applyProtection="1">
      <alignment vertical="center"/>
    </xf>
    <xf numFmtId="3" fontId="6" fillId="20" borderId="4" xfId="1" applyNumberFormat="1" applyFont="1" applyFill="1" applyBorder="1" applyAlignment="1" applyProtection="1">
      <alignment vertical="center"/>
    </xf>
    <xf numFmtId="3" fontId="28" fillId="20" borderId="3" xfId="1" applyNumberFormat="1" applyFont="1" applyFill="1" applyBorder="1" applyAlignment="1">
      <alignment vertical="center" wrapText="1"/>
    </xf>
    <xf numFmtId="0" fontId="8" fillId="20" borderId="7" xfId="1" applyFont="1" applyFill="1" applyBorder="1" applyAlignment="1">
      <alignment vertical="center" wrapText="1"/>
    </xf>
    <xf numFmtId="0" fontId="8" fillId="20" borderId="5" xfId="1" applyFont="1" applyFill="1" applyBorder="1" applyAlignment="1">
      <alignment vertical="center" wrapText="1"/>
    </xf>
    <xf numFmtId="0" fontId="8" fillId="20" borderId="8" xfId="1" applyFont="1" applyFill="1" applyBorder="1" applyAlignment="1">
      <alignment vertical="center" wrapText="1"/>
    </xf>
    <xf numFmtId="0" fontId="15" fillId="20" borderId="8" xfId="1" applyNumberFormat="1" applyFont="1" applyFill="1" applyBorder="1" applyAlignment="1">
      <alignment vertical="center" wrapText="1"/>
    </xf>
    <xf numFmtId="0" fontId="8" fillId="20" borderId="14" xfId="1" applyFont="1" applyFill="1" applyBorder="1" applyAlignment="1">
      <alignment vertical="center" wrapText="1"/>
    </xf>
    <xf numFmtId="0" fontId="4" fillId="20" borderId="4" xfId="1" applyFont="1" applyFill="1" applyBorder="1" applyAlignment="1">
      <alignment horizontal="center" vertical="center"/>
    </xf>
    <xf numFmtId="0" fontId="11" fillId="20" borderId="1" xfId="1" applyFont="1" applyFill="1" applyBorder="1" applyAlignment="1">
      <alignment vertical="center"/>
    </xf>
    <xf numFmtId="0" fontId="11" fillId="20" borderId="7" xfId="1" applyFont="1" applyFill="1" applyBorder="1" applyAlignment="1">
      <alignment vertical="center"/>
    </xf>
    <xf numFmtId="0" fontId="11" fillId="20" borderId="5" xfId="1" applyFont="1" applyFill="1" applyBorder="1" applyAlignment="1">
      <alignment vertical="center"/>
    </xf>
    <xf numFmtId="0" fontId="11" fillId="20" borderId="2" xfId="1" applyFont="1" applyFill="1" applyBorder="1" applyAlignment="1">
      <alignment vertical="center"/>
    </xf>
    <xf numFmtId="0" fontId="11" fillId="20" borderId="3" xfId="1" applyFont="1" applyFill="1" applyBorder="1" applyAlignment="1">
      <alignment vertical="center"/>
    </xf>
    <xf numFmtId="0" fontId="11" fillId="20" borderId="8" xfId="1" applyFont="1" applyFill="1" applyBorder="1" applyAlignment="1">
      <alignment vertical="center"/>
    </xf>
    <xf numFmtId="0" fontId="11" fillId="20" borderId="4" xfId="1" applyFont="1" applyFill="1" applyBorder="1" applyAlignment="1">
      <alignment horizontal="center" vertical="center"/>
    </xf>
    <xf numFmtId="0" fontId="11" fillId="20" borderId="4" xfId="1" applyFont="1" applyFill="1" applyBorder="1" applyAlignment="1">
      <alignment vertical="center"/>
    </xf>
    <xf numFmtId="0" fontId="14" fillId="20" borderId="1" xfId="1" applyFont="1" applyFill="1" applyBorder="1" applyAlignment="1">
      <alignment vertical="center"/>
    </xf>
    <xf numFmtId="0" fontId="14" fillId="20" borderId="2" xfId="1" applyFont="1" applyFill="1" applyBorder="1" applyAlignment="1">
      <alignment vertical="center"/>
    </xf>
    <xf numFmtId="0" fontId="14" fillId="20" borderId="4" xfId="1" applyFont="1" applyFill="1" applyBorder="1" applyAlignment="1">
      <alignment vertical="center"/>
    </xf>
    <xf numFmtId="3" fontId="6" fillId="20" borderId="1" xfId="0" applyNumberFormat="1" applyFont="1" applyFill="1" applyBorder="1"/>
    <xf numFmtId="3" fontId="6" fillId="20" borderId="1" xfId="1" applyNumberFormat="1" applyFont="1" applyFill="1" applyBorder="1" applyAlignment="1">
      <alignment vertical="center"/>
    </xf>
    <xf numFmtId="3" fontId="6" fillId="20" borderId="4" xfId="1" applyNumberFormat="1" applyFont="1" applyFill="1" applyBorder="1" applyAlignment="1">
      <alignment vertical="center"/>
    </xf>
    <xf numFmtId="0" fontId="4" fillId="20" borderId="4" xfId="1" applyFont="1" applyFill="1" applyBorder="1" applyAlignment="1">
      <alignment horizontal="center" vertical="center" wrapText="1"/>
    </xf>
    <xf numFmtId="0" fontId="11" fillId="20" borderId="1" xfId="1" applyFont="1" applyFill="1" applyBorder="1" applyAlignment="1">
      <alignment vertical="center" wrapText="1"/>
    </xf>
    <xf numFmtId="0" fontId="11" fillId="20" borderId="7" xfId="1" applyFont="1" applyFill="1" applyBorder="1" applyAlignment="1">
      <alignment vertical="center" wrapText="1"/>
    </xf>
    <xf numFmtId="0" fontId="11" fillId="20" borderId="5" xfId="1" applyFont="1" applyFill="1" applyBorder="1" applyAlignment="1">
      <alignment vertical="center" wrapText="1"/>
    </xf>
    <xf numFmtId="0" fontId="11" fillId="20" borderId="3" xfId="1" applyFont="1" applyFill="1" applyBorder="1" applyAlignment="1">
      <alignment vertical="center" wrapText="1"/>
    </xf>
    <xf numFmtId="0" fontId="11" fillId="20" borderId="8" xfId="1" applyFont="1" applyFill="1" applyBorder="1" applyAlignment="1">
      <alignment vertical="center" wrapText="1"/>
    </xf>
    <xf numFmtId="0" fontId="11" fillId="20" borderId="4" xfId="1" applyFont="1" applyFill="1" applyBorder="1" applyAlignment="1">
      <alignment vertical="center" wrapText="1"/>
    </xf>
    <xf numFmtId="0" fontId="11" fillId="20" borderId="2" xfId="1" applyFont="1" applyFill="1" applyBorder="1" applyAlignment="1">
      <alignment vertical="center" wrapText="1"/>
    </xf>
    <xf numFmtId="0" fontId="8" fillId="20" borderId="4" xfId="1" applyFont="1" applyFill="1" applyBorder="1" applyAlignment="1">
      <alignment vertical="center" wrapText="1"/>
    </xf>
    <xf numFmtId="0" fontId="8" fillId="20" borderId="1" xfId="1" applyFont="1" applyFill="1" applyBorder="1" applyAlignment="1">
      <alignment horizontal="center" vertical="center" wrapText="1"/>
    </xf>
    <xf numFmtId="0" fontId="11" fillId="20" borderId="7" xfId="0" applyFont="1" applyFill="1" applyBorder="1" applyAlignment="1">
      <alignment vertical="center" wrapText="1"/>
    </xf>
    <xf numFmtId="0" fontId="11" fillId="20" borderId="5" xfId="0" applyFont="1" applyFill="1" applyBorder="1" applyAlignment="1">
      <alignment vertical="center" wrapText="1"/>
    </xf>
    <xf numFmtId="0" fontId="11" fillId="20" borderId="4" xfId="0" applyFont="1" applyFill="1" applyBorder="1" applyAlignment="1">
      <alignment vertical="center" wrapText="1"/>
    </xf>
    <xf numFmtId="0" fontId="11" fillId="20" borderId="4" xfId="0" applyFont="1" applyFill="1" applyBorder="1" applyAlignment="1">
      <alignment horizontal="center" vertical="center" wrapText="1"/>
    </xf>
    <xf numFmtId="0" fontId="3" fillId="19" borderId="4" xfId="1" applyFont="1" applyFill="1" applyBorder="1" applyAlignment="1">
      <alignment vertical="center" wrapText="1"/>
    </xf>
    <xf numFmtId="0" fontId="3" fillId="0" borderId="7" xfId="0" applyFont="1" applyBorder="1"/>
    <xf numFmtId="0" fontId="3" fillId="0" borderId="5" xfId="0" applyFont="1" applyBorder="1"/>
    <xf numFmtId="0" fontId="3" fillId="0" borderId="1" xfId="0" applyFont="1" applyBorder="1"/>
    <xf numFmtId="0" fontId="3" fillId="0" borderId="2" xfId="0" applyFont="1" applyBorder="1"/>
    <xf numFmtId="0" fontId="5" fillId="0" borderId="6" xfId="0" applyFont="1" applyBorder="1"/>
    <xf numFmtId="3" fontId="11" fillId="22" borderId="1" xfId="1" applyNumberFormat="1" applyFont="1" applyFill="1" applyBorder="1" applyAlignment="1">
      <alignment horizontal="center" vertical="center"/>
    </xf>
    <xf numFmtId="3" fontId="11" fillId="22" borderId="4" xfId="1" applyNumberFormat="1" applyFont="1" applyFill="1" applyBorder="1" applyAlignment="1">
      <alignment horizontal="center" vertical="center"/>
    </xf>
    <xf numFmtId="0" fontId="15" fillId="20" borderId="3" xfId="1" applyFont="1" applyFill="1" applyBorder="1" applyAlignment="1">
      <alignment vertical="center" wrapText="1"/>
    </xf>
    <xf numFmtId="0" fontId="3" fillId="19" borderId="4" xfId="0" applyFont="1" applyFill="1" applyBorder="1"/>
    <xf numFmtId="0" fontId="3" fillId="0" borderId="4" xfId="0" applyFont="1" applyBorder="1"/>
    <xf numFmtId="0" fontId="16" fillId="0" borderId="6" xfId="0" applyFont="1" applyBorder="1" applyAlignment="1">
      <alignment vertical="center"/>
    </xf>
    <xf numFmtId="0" fontId="5" fillId="0" borderId="4" xfId="0" applyFont="1" applyBorder="1"/>
    <xf numFmtId="0" fontId="3" fillId="0" borderId="3" xfId="0" applyFont="1" applyBorder="1"/>
    <xf numFmtId="0" fontId="19" fillId="0" borderId="4" xfId="0" applyFont="1" applyBorder="1" applyAlignment="1">
      <alignment vertical="center"/>
    </xf>
    <xf numFmtId="0" fontId="3" fillId="0" borderId="4" xfId="0" applyFont="1" applyFill="1" applyBorder="1"/>
    <xf numFmtId="0" fontId="14" fillId="0" borderId="1" xfId="0" applyFont="1" applyFill="1" applyBorder="1"/>
    <xf numFmtId="0" fontId="14" fillId="0" borderId="2" xfId="0" applyFont="1" applyFill="1" applyBorder="1"/>
    <xf numFmtId="0" fontId="14" fillId="0" borderId="3" xfId="0" applyFont="1" applyFill="1" applyBorder="1"/>
    <xf numFmtId="0" fontId="19" fillId="0" borderId="4" xfId="0" applyFont="1" applyFill="1" applyBorder="1"/>
    <xf numFmtId="3" fontId="0" fillId="0" borderId="0" xfId="0" applyNumberFormat="1"/>
    <xf numFmtId="3" fontId="24" fillId="0" borderId="3" xfId="1" applyNumberFormat="1" applyFont="1" applyFill="1" applyBorder="1" applyAlignment="1">
      <alignment vertical="center" wrapText="1"/>
    </xf>
    <xf numFmtId="1" fontId="3" fillId="0" borderId="1" xfId="1" applyNumberFormat="1" applyFont="1" applyFill="1" applyBorder="1" applyAlignment="1">
      <alignment horizontal="center" vertical="center"/>
    </xf>
    <xf numFmtId="3" fontId="25" fillId="0" borderId="4" xfId="0" applyNumberFormat="1" applyFont="1" applyFill="1" applyBorder="1" applyAlignment="1">
      <alignment horizontal="right" vertical="center"/>
    </xf>
    <xf numFmtId="0" fontId="17" fillId="0" borderId="4" xfId="1" applyNumberFormat="1" applyFont="1" applyFill="1" applyBorder="1" applyAlignment="1">
      <alignment vertical="center"/>
    </xf>
    <xf numFmtId="0" fontId="31" fillId="0" borderId="4" xfId="1" applyNumberFormat="1" applyFont="1" applyFill="1" applyBorder="1" applyAlignment="1">
      <alignment vertical="center"/>
    </xf>
    <xf numFmtId="3" fontId="24" fillId="0" borderId="3" xfId="0" applyNumberFormat="1" applyFont="1" applyFill="1" applyBorder="1"/>
    <xf numFmtId="3" fontId="24" fillId="0" borderId="4" xfId="0" applyNumberFormat="1" applyFont="1" applyFill="1" applyBorder="1" applyAlignment="1">
      <alignment horizontal="right" vertical="center"/>
    </xf>
    <xf numFmtId="0" fontId="3" fillId="0" borderId="0" xfId="0" applyFont="1" applyBorder="1"/>
    <xf numFmtId="0" fontId="19" fillId="0" borderId="0" xfId="0" applyFont="1" applyBorder="1" applyAlignment="1">
      <alignment vertical="center"/>
    </xf>
    <xf numFmtId="3" fontId="25" fillId="0" borderId="0" xfId="0" applyNumberFormat="1" applyFont="1" applyBorder="1"/>
    <xf numFmtId="1" fontId="3" fillId="0" borderId="0" xfId="0" applyNumberFormat="1" applyFont="1" applyFill="1" applyBorder="1" applyAlignment="1">
      <alignment horizontal="center" vertical="center"/>
    </xf>
    <xf numFmtId="0" fontId="15" fillId="20" borderId="2" xfId="1" applyNumberFormat="1" applyFont="1" applyFill="1" applyBorder="1" applyAlignment="1">
      <alignment vertical="center" wrapText="1"/>
    </xf>
    <xf numFmtId="3" fontId="6" fillId="20" borderId="3" xfId="1" applyNumberFormat="1" applyFont="1" applyFill="1" applyBorder="1" applyAlignment="1">
      <alignment vertical="center"/>
    </xf>
    <xf numFmtId="1" fontId="11" fillId="23" borderId="5" xfId="0" applyNumberFormat="1" applyFont="1" applyFill="1" applyBorder="1" applyAlignment="1">
      <alignment horizontal="center" vertical="center" wrapText="1"/>
    </xf>
    <xf numFmtId="1" fontId="11" fillId="23" borderId="4" xfId="0" applyNumberFormat="1" applyFont="1" applyFill="1" applyBorder="1" applyAlignment="1">
      <alignment horizontal="center" vertical="center" wrapText="1"/>
    </xf>
    <xf numFmtId="0" fontId="30" fillId="12" borderId="3" xfId="1" applyFont="1" applyFill="1" applyBorder="1" applyAlignment="1">
      <alignment vertical="center" wrapText="1"/>
    </xf>
    <xf numFmtId="0" fontId="16" fillId="0" borderId="4" xfId="1" applyFont="1" applyFill="1" applyBorder="1" applyAlignment="1">
      <alignment vertical="center"/>
    </xf>
    <xf numFmtId="0" fontId="16" fillId="0" borderId="4" xfId="1" applyFont="1" applyFill="1" applyBorder="1" applyAlignment="1">
      <alignment vertical="center" wrapText="1"/>
    </xf>
    <xf numFmtId="0" fontId="31" fillId="0" borderId="3" xfId="1" applyFont="1" applyFill="1" applyBorder="1" applyAlignment="1">
      <alignment vertical="center" wrapText="1"/>
    </xf>
    <xf numFmtId="3" fontId="11" fillId="0" borderId="4" xfId="0" applyNumberFormat="1" applyFont="1" applyFill="1" applyBorder="1" applyAlignment="1">
      <alignment horizontal="center"/>
    </xf>
    <xf numFmtId="0" fontId="18" fillId="0" borderId="3" xfId="1" applyFont="1" applyFill="1" applyBorder="1" applyAlignment="1">
      <alignment vertical="center" wrapText="1"/>
    </xf>
    <xf numFmtId="0" fontId="16" fillId="0" borderId="3" xfId="1" applyFont="1" applyFill="1" applyBorder="1" applyAlignment="1">
      <alignment vertical="center"/>
    </xf>
    <xf numFmtId="0" fontId="32" fillId="0" borderId="3" xfId="1" applyFont="1" applyFill="1" applyBorder="1" applyAlignment="1">
      <alignment vertical="center" wrapText="1"/>
    </xf>
    <xf numFmtId="0" fontId="16" fillId="0" borderId="13" xfId="1" applyFont="1" applyFill="1" applyBorder="1" applyAlignment="1">
      <alignment vertical="center"/>
    </xf>
    <xf numFmtId="3" fontId="28" fillId="19" borderId="4" xfId="1" applyNumberFormat="1" applyFont="1" applyFill="1" applyBorder="1" applyAlignment="1">
      <alignment vertical="center" wrapText="1"/>
    </xf>
    <xf numFmtId="3" fontId="6" fillId="15" borderId="4" xfId="0" applyNumberFormat="1" applyFont="1" applyFill="1" applyBorder="1"/>
    <xf numFmtId="3" fontId="6" fillId="20" borderId="4" xfId="0" applyNumberFormat="1" applyFont="1" applyFill="1" applyBorder="1"/>
    <xf numFmtId="3" fontId="6" fillId="19" borderId="4" xfId="0" applyNumberFormat="1" applyFont="1" applyFill="1" applyBorder="1"/>
    <xf numFmtId="3" fontId="6" fillId="17" borderId="4" xfId="1" applyNumberFormat="1" applyFont="1" applyFill="1" applyBorder="1" applyAlignment="1">
      <alignment vertical="center"/>
    </xf>
    <xf numFmtId="3" fontId="40" fillId="21" borderId="4" xfId="0" applyNumberFormat="1" applyFont="1" applyFill="1" applyBorder="1"/>
    <xf numFmtId="3" fontId="6" fillId="6" borderId="4" xfId="0" applyNumberFormat="1" applyFont="1" applyFill="1" applyBorder="1" applyAlignment="1"/>
    <xf numFmtId="3" fontId="6" fillId="11" borderId="4" xfId="0" applyNumberFormat="1" applyFont="1" applyFill="1" applyBorder="1" applyAlignment="1">
      <alignment vertical="center"/>
    </xf>
    <xf numFmtId="3" fontId="6" fillId="6" borderId="4" xfId="0" applyNumberFormat="1" applyFont="1" applyFill="1" applyBorder="1" applyAlignment="1">
      <alignment vertical="center"/>
    </xf>
    <xf numFmtId="0" fontId="0" fillId="0" borderId="10" xfId="0" applyBorder="1"/>
    <xf numFmtId="0" fontId="36" fillId="0" borderId="12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</cellXfs>
  <cellStyles count="4">
    <cellStyle name="Good" xfId="2" xr:uid="{00000000-0005-0000-0000-000000000000}"/>
    <cellStyle name="Normal_MjesPlan2003" xfId="3" xr:uid="{00000000-0005-0000-0000-000001000000}"/>
    <cellStyle name="Normalno" xfId="0" builtinId="0"/>
    <cellStyle name="Normalno 2" xfId="1" xr:uid="{00000000-0005-0000-0000-000003000000}"/>
  </cellStyles>
  <dxfs count="0"/>
  <tableStyles count="0" defaultTableStyle="TableStyleMedium2" defaultPivotStyle="PivotStyleLight16"/>
  <colors>
    <mruColors>
      <color rgb="FFFF0066"/>
      <color rgb="FF009900"/>
      <color rgb="FF33CC33"/>
      <color rgb="FFCCFFFF"/>
      <color rgb="FFFFCCCC"/>
      <color rgb="FF3366FF"/>
      <color rgb="FF66FF66"/>
      <color rgb="FF9999FF"/>
      <color rgb="FFFF00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87"/>
  <sheetViews>
    <sheetView tabSelected="1" zoomScale="98" zoomScaleNormal="98" workbookViewId="0">
      <pane ySplit="2" topLeftCell="A3" activePane="bottomLeft" state="frozen"/>
      <selection pane="bottomLeft" activeCell="O11" sqref="O11"/>
    </sheetView>
  </sheetViews>
  <sheetFormatPr defaultRowHeight="15" x14ac:dyDescent="0.25"/>
  <cols>
    <col min="1" max="1" width="1" customWidth="1"/>
    <col min="2" max="2" width="3.5703125" customWidth="1"/>
    <col min="3" max="3" width="10" customWidth="1"/>
    <col min="4" max="7" width="1.85546875" customWidth="1"/>
    <col min="8" max="8" width="4.5703125" customWidth="1"/>
    <col min="9" max="9" width="40" customWidth="1"/>
    <col min="10" max="10" width="4.28515625" customWidth="1"/>
    <col min="11" max="12" width="15.5703125" style="233" customWidth="1"/>
    <col min="13" max="13" width="12" bestFit="1" customWidth="1"/>
    <col min="14" max="15" width="11.42578125" bestFit="1" customWidth="1"/>
  </cols>
  <sheetData>
    <row r="1" spans="1:14" ht="45.75" customHeight="1" x14ac:dyDescent="0.25">
      <c r="B1" s="447"/>
      <c r="C1" s="303"/>
      <c r="D1" s="303"/>
      <c r="E1" s="303"/>
      <c r="F1" s="303"/>
      <c r="G1" s="303"/>
      <c r="H1" s="303"/>
      <c r="I1" s="450" t="s">
        <v>0</v>
      </c>
      <c r="J1" s="309"/>
      <c r="K1" s="448" t="s">
        <v>1</v>
      </c>
      <c r="L1" s="448" t="s">
        <v>215</v>
      </c>
    </row>
    <row r="2" spans="1:14" ht="64.5" customHeight="1" x14ac:dyDescent="0.25">
      <c r="B2" s="301"/>
      <c r="C2" s="302"/>
      <c r="D2" s="302"/>
      <c r="E2" s="302"/>
      <c r="F2" s="302"/>
      <c r="G2" s="302"/>
      <c r="H2" s="302"/>
      <c r="I2" s="451"/>
      <c r="J2" s="304" t="s">
        <v>2</v>
      </c>
      <c r="K2" s="452"/>
      <c r="L2" s="449"/>
    </row>
    <row r="3" spans="1:14" x14ac:dyDescent="0.25">
      <c r="B3" s="131"/>
      <c r="C3" s="132"/>
      <c r="D3" s="133"/>
      <c r="E3" s="133"/>
      <c r="F3" s="133"/>
      <c r="G3" s="133"/>
      <c r="H3" s="133"/>
      <c r="I3" s="134"/>
      <c r="J3" s="135"/>
    </row>
    <row r="4" spans="1:14" ht="38.25" x14ac:dyDescent="0.25">
      <c r="A4" t="s">
        <v>16</v>
      </c>
      <c r="B4" s="127"/>
      <c r="C4" s="136"/>
      <c r="D4" s="137" t="s">
        <v>3</v>
      </c>
      <c r="E4" s="138"/>
      <c r="F4" s="138"/>
      <c r="G4" s="138"/>
      <c r="H4" s="138" t="s">
        <v>4</v>
      </c>
      <c r="I4" s="128" t="s">
        <v>191</v>
      </c>
      <c r="J4" s="139"/>
      <c r="K4" s="124">
        <f>K23+K75+K79+K89+K99+K108+K129+K140+K144+K148+K160+K164+K168+K223+K227+K238+K242+K249+K266+K285+K296+K317+K353++K435+K447+K471+K495+K507+K526+K558+K407+K419+K400+K533+K548+K562+K571+K310+K576+K592+K607+K259+K622+K644+K661+K678+K683+K588+K656+K580</f>
        <v>828559313</v>
      </c>
      <c r="L4" s="124">
        <f>L23+L75+L79+L89+L99+L108+L129+L140+L144+L148+L160+L164+L168+L223+L227+L238+L242+L249+L266+L285+L296+L317+L353++L435+L447+L471+L495+L507+L526+L558+L407+L419+L400+L533+L548+L562+L571+L310+L576+L592+L607+L259+L622+L644+L661+L678+L683+L588+L656+L580</f>
        <v>827014796.25</v>
      </c>
      <c r="M4" s="413"/>
    </row>
    <row r="5" spans="1:14" ht="15" customHeight="1" x14ac:dyDescent="0.25">
      <c r="B5" s="76"/>
      <c r="C5" s="70"/>
      <c r="D5" s="71" t="s">
        <v>3</v>
      </c>
      <c r="E5" s="72"/>
      <c r="F5" s="72"/>
      <c r="G5" s="72"/>
      <c r="H5" s="69" t="s">
        <v>4</v>
      </c>
      <c r="I5" s="77" t="s">
        <v>5</v>
      </c>
      <c r="J5" s="74">
        <v>11</v>
      </c>
      <c r="K5" s="124">
        <f>K23+K79+K89+K99+K140+K144+K148+K227+K242+K249+K266+K435+K495+K507+K526+K533+K548+K558+K562+K571+K310+K644+K656</f>
        <v>168789000</v>
      </c>
      <c r="L5" s="124">
        <f>L23+L79+L89+L99+L140+L144+L148+L227+L242+L249+L266+L435+L495+L507+L526+L533+L548+L558+L562+L571+L310+L644+L656</f>
        <v>197881500</v>
      </c>
      <c r="N5" s="413"/>
    </row>
    <row r="6" spans="1:14" ht="15" customHeight="1" x14ac:dyDescent="0.25">
      <c r="B6" s="76"/>
      <c r="C6" s="70"/>
      <c r="D6" s="71" t="s">
        <v>3</v>
      </c>
      <c r="E6" s="72"/>
      <c r="F6" s="72"/>
      <c r="G6" s="72"/>
      <c r="H6" s="69" t="s">
        <v>4</v>
      </c>
      <c r="I6" s="77" t="s">
        <v>6</v>
      </c>
      <c r="J6" s="78">
        <v>12</v>
      </c>
      <c r="K6" s="209">
        <f>K164+K238+K317+K447+K407+K592</f>
        <v>20931705</v>
      </c>
      <c r="L6" s="209">
        <f>L164+L238+L317+L447+L407+L592</f>
        <v>15725821</v>
      </c>
      <c r="M6" s="413"/>
      <c r="N6" s="413"/>
    </row>
    <row r="7" spans="1:14" ht="15" customHeight="1" x14ac:dyDescent="0.25">
      <c r="B7" s="76"/>
      <c r="C7" s="70"/>
      <c r="D7" s="71" t="s">
        <v>3</v>
      </c>
      <c r="E7" s="72"/>
      <c r="F7" s="72"/>
      <c r="G7" s="72"/>
      <c r="H7" s="69" t="s">
        <v>4</v>
      </c>
      <c r="I7" s="77" t="s">
        <v>7</v>
      </c>
      <c r="J7" s="75">
        <v>13</v>
      </c>
      <c r="K7" s="250">
        <v>0</v>
      </c>
      <c r="L7" s="209">
        <v>0</v>
      </c>
    </row>
    <row r="8" spans="1:14" ht="15" customHeight="1" x14ac:dyDescent="0.25">
      <c r="B8" s="76"/>
      <c r="C8" s="67"/>
      <c r="D8" s="68" t="s">
        <v>3</v>
      </c>
      <c r="E8" s="69"/>
      <c r="F8" s="69"/>
      <c r="G8" s="69"/>
      <c r="H8" s="69" t="s">
        <v>4</v>
      </c>
      <c r="I8" s="77" t="s">
        <v>9</v>
      </c>
      <c r="J8" s="79">
        <v>43</v>
      </c>
      <c r="K8" s="124">
        <f>K108+K129+K160+K168+K223+K296</f>
        <v>10610000</v>
      </c>
      <c r="L8" s="124">
        <f>L108+L129+L160+L168+L223+L296</f>
        <v>25110000</v>
      </c>
    </row>
    <row r="9" spans="1:14" ht="15" customHeight="1" x14ac:dyDescent="0.25">
      <c r="B9" s="76"/>
      <c r="C9" s="70"/>
      <c r="D9" s="71" t="s">
        <v>3</v>
      </c>
      <c r="E9" s="72"/>
      <c r="F9" s="72"/>
      <c r="G9" s="72"/>
      <c r="H9" s="69" t="s">
        <v>4</v>
      </c>
      <c r="I9" s="77" t="s">
        <v>10</v>
      </c>
      <c r="J9" s="80">
        <v>51</v>
      </c>
      <c r="K9" s="250"/>
      <c r="L9" s="209"/>
    </row>
    <row r="10" spans="1:14" ht="15" customHeight="1" x14ac:dyDescent="0.25">
      <c r="B10" s="76"/>
      <c r="C10" s="70"/>
      <c r="D10" s="71" t="s">
        <v>3</v>
      </c>
      <c r="E10" s="72"/>
      <c r="F10" s="72"/>
      <c r="G10" s="72"/>
      <c r="H10" s="69" t="s">
        <v>4</v>
      </c>
      <c r="I10" s="77" t="s">
        <v>11</v>
      </c>
      <c r="J10" s="81">
        <v>52</v>
      </c>
      <c r="K10" s="249">
        <f>K75++K285+K400</f>
        <v>5246000</v>
      </c>
      <c r="L10" s="124">
        <f>L75++L285+L400</f>
        <v>5246000</v>
      </c>
    </row>
    <row r="11" spans="1:14" ht="38.25" customHeight="1" x14ac:dyDescent="0.25">
      <c r="B11" s="76"/>
      <c r="C11" s="70"/>
      <c r="D11" s="71" t="s">
        <v>3</v>
      </c>
      <c r="E11" s="72"/>
      <c r="F11" s="72"/>
      <c r="G11" s="72"/>
      <c r="H11" s="69" t="s">
        <v>4</v>
      </c>
      <c r="I11" s="77" t="s">
        <v>12</v>
      </c>
      <c r="J11" s="211">
        <v>563</v>
      </c>
      <c r="K11" s="124">
        <f>K353+K471+K419+K607</f>
        <v>602682608</v>
      </c>
      <c r="L11" s="124">
        <f>L353+L471+L419+L607</f>
        <v>479719582</v>
      </c>
      <c r="M11" s="413"/>
    </row>
    <row r="12" spans="1:14" ht="25.5" x14ac:dyDescent="0.25">
      <c r="B12" s="76"/>
      <c r="C12" s="70"/>
      <c r="D12" s="71" t="s">
        <v>3</v>
      </c>
      <c r="E12" s="72"/>
      <c r="F12" s="72"/>
      <c r="G12" s="72"/>
      <c r="H12" s="69" t="s">
        <v>4</v>
      </c>
      <c r="I12" s="77" t="s">
        <v>17</v>
      </c>
      <c r="J12" s="211">
        <v>563</v>
      </c>
      <c r="K12" s="124">
        <f>K374</f>
        <v>100700000</v>
      </c>
      <c r="L12" s="124">
        <f>L374</f>
        <v>25700000</v>
      </c>
    </row>
    <row r="13" spans="1:14" x14ac:dyDescent="0.25">
      <c r="B13" s="76"/>
      <c r="C13" s="70"/>
      <c r="D13" s="71" t="s">
        <v>3</v>
      </c>
      <c r="E13" s="72"/>
      <c r="F13" s="72"/>
      <c r="G13" s="72"/>
      <c r="H13" s="69" t="s">
        <v>4</v>
      </c>
      <c r="I13" s="77" t="s">
        <v>13</v>
      </c>
      <c r="J13" s="211">
        <v>576</v>
      </c>
      <c r="K13" s="249">
        <f>K576+K588+K580</f>
        <v>20000000</v>
      </c>
      <c r="L13" s="124">
        <f>L576+L588+L580</f>
        <v>34500000</v>
      </c>
    </row>
    <row r="14" spans="1:14" x14ac:dyDescent="0.25">
      <c r="B14" s="76"/>
      <c r="C14" s="70"/>
      <c r="D14" s="71" t="s">
        <v>3</v>
      </c>
      <c r="E14" s="72"/>
      <c r="F14" s="72"/>
      <c r="G14" s="72"/>
      <c r="H14" s="69" t="s">
        <v>4</v>
      </c>
      <c r="I14" s="77" t="s">
        <v>195</v>
      </c>
      <c r="J14" s="427">
        <v>581</v>
      </c>
      <c r="K14" s="249">
        <f>K661+K678+K683</f>
        <v>0</v>
      </c>
      <c r="L14" s="124">
        <f>L661+L678+L683</f>
        <v>15517798.25</v>
      </c>
    </row>
    <row r="15" spans="1:14" x14ac:dyDescent="0.25">
      <c r="B15" s="76"/>
      <c r="C15" s="70"/>
      <c r="D15" s="71" t="s">
        <v>3</v>
      </c>
      <c r="E15" s="72"/>
      <c r="F15" s="72"/>
      <c r="G15" s="72"/>
      <c r="H15" s="69" t="s">
        <v>4</v>
      </c>
      <c r="I15" s="77" t="s">
        <v>14</v>
      </c>
      <c r="J15" s="101">
        <v>61</v>
      </c>
      <c r="K15" s="249">
        <f>K259</f>
        <v>300000</v>
      </c>
      <c r="L15" s="124">
        <f>L259</f>
        <v>284095</v>
      </c>
      <c r="M15" s="413"/>
    </row>
    <row r="16" spans="1:14" ht="15" customHeight="1" x14ac:dyDescent="0.25">
      <c r="B16" s="76"/>
      <c r="C16" s="70"/>
      <c r="D16" s="71" t="s">
        <v>3</v>
      </c>
      <c r="E16" s="72"/>
      <c r="F16" s="72"/>
      <c r="G16" s="72"/>
      <c r="H16" s="69" t="s">
        <v>4</v>
      </c>
      <c r="I16" s="73" t="s">
        <v>18</v>
      </c>
      <c r="J16" s="82">
        <v>81</v>
      </c>
      <c r="K16" s="250">
        <f>K622</f>
        <v>0</v>
      </c>
      <c r="L16" s="209">
        <f>L622</f>
        <v>53030000</v>
      </c>
    </row>
    <row r="17" spans="2:15" ht="15" customHeight="1" x14ac:dyDescent="0.25">
      <c r="B17" s="83"/>
      <c r="C17" s="84"/>
      <c r="D17" s="333" t="s">
        <v>3</v>
      </c>
      <c r="E17" s="333"/>
      <c r="F17" s="333"/>
      <c r="G17" s="333"/>
      <c r="H17" s="69" t="s">
        <v>4</v>
      </c>
      <c r="I17" s="85" t="s">
        <v>19</v>
      </c>
      <c r="J17" s="86"/>
      <c r="K17" s="207">
        <f>K5+K6+K7+K16</f>
        <v>189720705</v>
      </c>
      <c r="L17" s="444">
        <f>L5+L6+L7+L16</f>
        <v>266637321</v>
      </c>
    </row>
    <row r="18" spans="2:15" ht="15" customHeight="1" x14ac:dyDescent="0.25">
      <c r="B18" s="87"/>
      <c r="C18" s="88"/>
      <c r="D18" s="89" t="s">
        <v>8</v>
      </c>
      <c r="E18" s="334"/>
      <c r="F18" s="334"/>
      <c r="G18" s="334"/>
      <c r="H18" s="69" t="s">
        <v>4</v>
      </c>
      <c r="I18" s="90" t="s">
        <v>20</v>
      </c>
      <c r="J18" s="91"/>
      <c r="K18" s="208"/>
      <c r="L18" s="445"/>
      <c r="O18" s="413"/>
    </row>
    <row r="19" spans="2:15" ht="15" customHeight="1" x14ac:dyDescent="0.25">
      <c r="B19" s="87"/>
      <c r="C19" s="88"/>
      <c r="D19" s="89" t="s">
        <v>8</v>
      </c>
      <c r="E19" s="334"/>
      <c r="F19" s="334"/>
      <c r="G19" s="334"/>
      <c r="H19" s="69" t="s">
        <v>4</v>
      </c>
      <c r="I19" s="92" t="s">
        <v>21</v>
      </c>
      <c r="J19" s="93"/>
      <c r="K19" s="241"/>
      <c r="L19" s="210"/>
    </row>
    <row r="20" spans="2:15" x14ac:dyDescent="0.25">
      <c r="B20" s="76"/>
      <c r="C20" s="70"/>
      <c r="D20" s="89" t="s">
        <v>3</v>
      </c>
      <c r="E20" s="72"/>
      <c r="F20" s="72"/>
      <c r="G20" s="72"/>
      <c r="H20" s="69" t="s">
        <v>4</v>
      </c>
      <c r="I20" s="94" t="s">
        <v>196</v>
      </c>
      <c r="J20" s="95"/>
      <c r="K20" s="168">
        <f>K8+K9+K10+K11+K15+K13+K14</f>
        <v>638838608</v>
      </c>
      <c r="L20" s="446">
        <f>L8+L9+L10+L11+L15+L13+L14</f>
        <v>560377475.25</v>
      </c>
    </row>
    <row r="21" spans="2:15" ht="15" customHeight="1" x14ac:dyDescent="0.25">
      <c r="B21" s="96"/>
      <c r="C21" s="97"/>
      <c r="D21" s="89" t="s">
        <v>3</v>
      </c>
      <c r="E21" s="97"/>
      <c r="F21" s="97"/>
      <c r="G21" s="97"/>
      <c r="H21" s="138" t="s">
        <v>4</v>
      </c>
      <c r="I21" s="125" t="s">
        <v>22</v>
      </c>
      <c r="J21" s="110"/>
      <c r="K21" s="249">
        <f>K17+K20</f>
        <v>828559313</v>
      </c>
      <c r="L21" s="124">
        <f>L17+L20</f>
        <v>827014796.25</v>
      </c>
    </row>
    <row r="22" spans="2:15" ht="15" customHeight="1" x14ac:dyDescent="0.25">
      <c r="I22" s="98"/>
      <c r="K22" s="234"/>
      <c r="L22" s="234"/>
    </row>
    <row r="23" spans="2:15" ht="25.5" x14ac:dyDescent="0.25">
      <c r="B23" s="2" t="s">
        <v>23</v>
      </c>
      <c r="C23" s="3" t="s">
        <v>24</v>
      </c>
      <c r="D23" s="3"/>
      <c r="E23" s="4"/>
      <c r="F23" s="4"/>
      <c r="G23" s="4"/>
      <c r="H23" s="5" t="s">
        <v>4</v>
      </c>
      <c r="I23" s="6" t="s">
        <v>192</v>
      </c>
      <c r="J23" s="111">
        <v>11</v>
      </c>
      <c r="K23" s="165">
        <f>SUM(K40:K74)</f>
        <v>120876000</v>
      </c>
      <c r="L23" s="130">
        <f>SUM(L40:L74)</f>
        <v>125963750</v>
      </c>
    </row>
    <row r="24" spans="2:15" x14ac:dyDescent="0.25">
      <c r="B24" s="351" t="s">
        <v>23</v>
      </c>
      <c r="C24" s="352" t="s">
        <v>24</v>
      </c>
      <c r="D24" s="352"/>
      <c r="E24" s="353"/>
      <c r="F24" s="353"/>
      <c r="G24" s="354"/>
      <c r="H24" s="354">
        <v>31</v>
      </c>
      <c r="I24" s="355" t="s">
        <v>26</v>
      </c>
      <c r="J24" s="111">
        <v>11</v>
      </c>
      <c r="K24" s="356">
        <f t="shared" ref="K24" si="0">K29+K30+K31</f>
        <v>76368000</v>
      </c>
      <c r="L24" s="357">
        <f t="shared" ref="L24" si="1">L29+L30+L31</f>
        <v>74055750</v>
      </c>
    </row>
    <row r="25" spans="2:15" x14ac:dyDescent="0.25">
      <c r="B25" s="351" t="s">
        <v>23</v>
      </c>
      <c r="C25" s="352" t="s">
        <v>24</v>
      </c>
      <c r="D25" s="352"/>
      <c r="E25" s="353"/>
      <c r="F25" s="353"/>
      <c r="G25" s="354"/>
      <c r="H25" s="354">
        <v>32</v>
      </c>
      <c r="I25" s="355" t="s">
        <v>27</v>
      </c>
      <c r="J25" s="111">
        <v>11</v>
      </c>
      <c r="K25" s="356">
        <f t="shared" ref="K25" si="2">K32+K33+K34+K35+K36</f>
        <v>44133000</v>
      </c>
      <c r="L25" s="357">
        <f t="shared" ref="L25" si="3">L32+L33+L34+L35+L36</f>
        <v>51663000</v>
      </c>
    </row>
    <row r="26" spans="2:15" x14ac:dyDescent="0.25">
      <c r="B26" s="351" t="s">
        <v>23</v>
      </c>
      <c r="C26" s="352" t="s">
        <v>24</v>
      </c>
      <c r="D26" s="352"/>
      <c r="E26" s="353"/>
      <c r="F26" s="353"/>
      <c r="G26" s="354"/>
      <c r="H26" s="354">
        <v>34</v>
      </c>
      <c r="I26" s="355" t="s">
        <v>28</v>
      </c>
      <c r="J26" s="111">
        <v>11</v>
      </c>
      <c r="K26" s="356">
        <f t="shared" ref="K26" si="4">K37</f>
        <v>175000</v>
      </c>
      <c r="L26" s="357">
        <f t="shared" ref="L26" si="5">L37</f>
        <v>175000</v>
      </c>
    </row>
    <row r="27" spans="2:15" ht="25.5" x14ac:dyDescent="0.25">
      <c r="B27" s="351" t="s">
        <v>23</v>
      </c>
      <c r="C27" s="352" t="s">
        <v>24</v>
      </c>
      <c r="D27" s="352"/>
      <c r="E27" s="353"/>
      <c r="F27" s="353"/>
      <c r="G27" s="354"/>
      <c r="H27" s="354">
        <v>36</v>
      </c>
      <c r="I27" s="355" t="s">
        <v>82</v>
      </c>
      <c r="J27" s="111">
        <v>11</v>
      </c>
      <c r="K27" s="356">
        <f>K38</f>
        <v>0</v>
      </c>
      <c r="L27" s="357">
        <f>L38</f>
        <v>70000</v>
      </c>
    </row>
    <row r="28" spans="2:15" ht="25.5" x14ac:dyDescent="0.25">
      <c r="B28" s="351" t="s">
        <v>23</v>
      </c>
      <c r="C28" s="352" t="s">
        <v>24</v>
      </c>
      <c r="D28" s="352"/>
      <c r="E28" s="353"/>
      <c r="F28" s="353"/>
      <c r="G28" s="354"/>
      <c r="H28" s="354">
        <v>42</v>
      </c>
      <c r="I28" s="355" t="s">
        <v>30</v>
      </c>
      <c r="J28" s="111">
        <v>11</v>
      </c>
      <c r="K28" s="356">
        <f t="shared" ref="K28" si="6">K39</f>
        <v>200000</v>
      </c>
      <c r="L28" s="357">
        <f t="shared" ref="L28" si="7">L39</f>
        <v>0</v>
      </c>
    </row>
    <row r="29" spans="2:15" ht="15" customHeight="1" x14ac:dyDescent="0.25">
      <c r="B29" s="251" t="s">
        <v>23</v>
      </c>
      <c r="C29" s="252" t="s">
        <v>24</v>
      </c>
      <c r="D29" s="253"/>
      <c r="E29" s="254"/>
      <c r="F29" s="254"/>
      <c r="G29" s="255"/>
      <c r="H29" s="255">
        <v>311</v>
      </c>
      <c r="I29" s="256" t="s">
        <v>31</v>
      </c>
      <c r="J29" s="112">
        <v>11</v>
      </c>
      <c r="K29" s="257">
        <f>K40+K41</f>
        <v>63650000</v>
      </c>
      <c r="L29" s="258">
        <f>L40+L41</f>
        <v>61550000</v>
      </c>
    </row>
    <row r="30" spans="2:15" ht="15" customHeight="1" x14ac:dyDescent="0.25">
      <c r="B30" s="251" t="s">
        <v>23</v>
      </c>
      <c r="C30" s="252" t="s">
        <v>24</v>
      </c>
      <c r="D30" s="253"/>
      <c r="E30" s="254"/>
      <c r="F30" s="254"/>
      <c r="G30" s="255"/>
      <c r="H30" s="255">
        <v>312</v>
      </c>
      <c r="I30" s="256" t="s">
        <v>32</v>
      </c>
      <c r="J30" s="112">
        <v>11</v>
      </c>
      <c r="K30" s="257">
        <f>K42</f>
        <v>2200000</v>
      </c>
      <c r="L30" s="258">
        <f>L42</f>
        <v>2350000</v>
      </c>
      <c r="N30" s="413"/>
    </row>
    <row r="31" spans="2:15" ht="15" customHeight="1" x14ac:dyDescent="0.25">
      <c r="B31" s="251" t="s">
        <v>23</v>
      </c>
      <c r="C31" s="252" t="s">
        <v>24</v>
      </c>
      <c r="D31" s="253"/>
      <c r="E31" s="254"/>
      <c r="F31" s="254"/>
      <c r="G31" s="255"/>
      <c r="H31" s="255">
        <v>313</v>
      </c>
      <c r="I31" s="256" t="s">
        <v>33</v>
      </c>
      <c r="J31" s="112">
        <v>11</v>
      </c>
      <c r="K31" s="257">
        <f>K43</f>
        <v>10518000</v>
      </c>
      <c r="L31" s="258">
        <f>L43</f>
        <v>10155750</v>
      </c>
      <c r="N31" s="413"/>
    </row>
    <row r="32" spans="2:15" ht="15" customHeight="1" x14ac:dyDescent="0.25">
      <c r="B32" s="251" t="s">
        <v>23</v>
      </c>
      <c r="C32" s="252" t="s">
        <v>24</v>
      </c>
      <c r="D32" s="253"/>
      <c r="E32" s="254"/>
      <c r="F32" s="254"/>
      <c r="G32" s="255"/>
      <c r="H32" s="255">
        <v>321</v>
      </c>
      <c r="I32" s="256" t="s">
        <v>34</v>
      </c>
      <c r="J32" s="112">
        <v>11</v>
      </c>
      <c r="K32" s="257">
        <f t="shared" ref="K32" si="8">K44+K45+K46+K47</f>
        <v>3550000</v>
      </c>
      <c r="L32" s="258">
        <f t="shared" ref="L32" si="9">L44+L45+L46+L47</f>
        <v>3150000</v>
      </c>
    </row>
    <row r="33" spans="2:12" ht="15" customHeight="1" x14ac:dyDescent="0.25">
      <c r="B33" s="251" t="s">
        <v>23</v>
      </c>
      <c r="C33" s="252" t="s">
        <v>24</v>
      </c>
      <c r="D33" s="253"/>
      <c r="E33" s="254"/>
      <c r="F33" s="254"/>
      <c r="G33" s="255"/>
      <c r="H33" s="255">
        <v>322</v>
      </c>
      <c r="I33" s="256" t="s">
        <v>35</v>
      </c>
      <c r="J33" s="112">
        <v>11</v>
      </c>
      <c r="K33" s="257">
        <f t="shared" ref="K33" si="10">K48+K49+K50+K52+K53+K51</f>
        <v>6960500</v>
      </c>
      <c r="L33" s="258">
        <f t="shared" ref="L33" si="11">L48+L49+L50+L52+L53+L51</f>
        <v>6790500</v>
      </c>
    </row>
    <row r="34" spans="2:12" ht="15" customHeight="1" x14ac:dyDescent="0.25">
      <c r="B34" s="251" t="s">
        <v>23</v>
      </c>
      <c r="C34" s="252" t="s">
        <v>24</v>
      </c>
      <c r="D34" s="253"/>
      <c r="E34" s="254"/>
      <c r="F34" s="254"/>
      <c r="G34" s="255"/>
      <c r="H34" s="255">
        <v>323</v>
      </c>
      <c r="I34" s="256" t="s">
        <v>36</v>
      </c>
      <c r="J34" s="112">
        <v>11</v>
      </c>
      <c r="K34" s="257">
        <f>K54+K55+K56+K57+K58+K59+K60</f>
        <v>22578500</v>
      </c>
      <c r="L34" s="258">
        <f>L54+L55+L56+L57+L58+L59+L60</f>
        <v>28178500</v>
      </c>
    </row>
    <row r="35" spans="2:12" ht="15" customHeight="1" x14ac:dyDescent="0.25">
      <c r="B35" s="251" t="s">
        <v>23</v>
      </c>
      <c r="C35" s="252" t="s">
        <v>24</v>
      </c>
      <c r="D35" s="253"/>
      <c r="E35" s="254"/>
      <c r="F35" s="254"/>
      <c r="G35" s="255"/>
      <c r="H35" s="255">
        <v>324</v>
      </c>
      <c r="I35" s="256" t="s">
        <v>37</v>
      </c>
      <c r="J35" s="112">
        <v>11</v>
      </c>
      <c r="K35" s="257">
        <f>K61</f>
        <v>51000</v>
      </c>
      <c r="L35" s="258">
        <f>L61</f>
        <v>51000</v>
      </c>
    </row>
    <row r="36" spans="2:12" ht="15" customHeight="1" x14ac:dyDescent="0.25">
      <c r="B36" s="251" t="s">
        <v>23</v>
      </c>
      <c r="C36" s="252" t="s">
        <v>24</v>
      </c>
      <c r="D36" s="253"/>
      <c r="E36" s="254"/>
      <c r="F36" s="254"/>
      <c r="G36" s="255"/>
      <c r="H36" s="255">
        <v>329</v>
      </c>
      <c r="I36" s="256" t="s">
        <v>38</v>
      </c>
      <c r="J36" s="112">
        <v>11</v>
      </c>
      <c r="K36" s="257">
        <f t="shared" ref="K36" si="12">K62+K64+K65+K66+K67+K68+K63</f>
        <v>10993000</v>
      </c>
      <c r="L36" s="258">
        <f t="shared" ref="L36" si="13">L62+L64+L65+L66+L67+L68+L63</f>
        <v>13493000</v>
      </c>
    </row>
    <row r="37" spans="2:12" ht="15" customHeight="1" x14ac:dyDescent="0.25">
      <c r="B37" s="251" t="s">
        <v>23</v>
      </c>
      <c r="C37" s="252" t="s">
        <v>24</v>
      </c>
      <c r="D37" s="253"/>
      <c r="E37" s="254"/>
      <c r="F37" s="254"/>
      <c r="G37" s="255"/>
      <c r="H37" s="255">
        <v>343</v>
      </c>
      <c r="I37" s="256" t="s">
        <v>39</v>
      </c>
      <c r="J37" s="112">
        <v>11</v>
      </c>
      <c r="K37" s="257">
        <f>K69+K70+K71</f>
        <v>175000</v>
      </c>
      <c r="L37" s="258">
        <f>L69+L70+L71</f>
        <v>175000</v>
      </c>
    </row>
    <row r="38" spans="2:12" ht="25.5" x14ac:dyDescent="0.25">
      <c r="B38" s="251" t="s">
        <v>23</v>
      </c>
      <c r="C38" s="252" t="s">
        <v>24</v>
      </c>
      <c r="D38" s="253"/>
      <c r="E38" s="254"/>
      <c r="F38" s="254"/>
      <c r="G38" s="255"/>
      <c r="H38" s="255">
        <v>369</v>
      </c>
      <c r="I38" s="256" t="s">
        <v>116</v>
      </c>
      <c r="J38" s="112">
        <v>11</v>
      </c>
      <c r="K38" s="257">
        <f>K72</f>
        <v>0</v>
      </c>
      <c r="L38" s="258">
        <f>L72</f>
        <v>70000</v>
      </c>
    </row>
    <row r="39" spans="2:12" ht="15" customHeight="1" x14ac:dyDescent="0.25">
      <c r="B39" s="251" t="s">
        <v>23</v>
      </c>
      <c r="C39" s="252" t="s">
        <v>24</v>
      </c>
      <c r="D39" s="253"/>
      <c r="E39" s="254"/>
      <c r="F39" s="254"/>
      <c r="G39" s="255"/>
      <c r="H39" s="261">
        <v>421</v>
      </c>
      <c r="I39" s="256" t="s">
        <v>41</v>
      </c>
      <c r="J39" s="112">
        <v>11</v>
      </c>
      <c r="K39" s="257">
        <f t="shared" ref="K39" si="14">K73+K74</f>
        <v>200000</v>
      </c>
      <c r="L39" s="258">
        <f t="shared" ref="L39" si="15">L73+L74</f>
        <v>0</v>
      </c>
    </row>
    <row r="40" spans="2:12" ht="16.5" customHeight="1" x14ac:dyDescent="0.25">
      <c r="B40" s="16" t="s">
        <v>23</v>
      </c>
      <c r="C40" s="17" t="s">
        <v>24</v>
      </c>
      <c r="D40" s="178">
        <v>3</v>
      </c>
      <c r="E40" s="179">
        <v>1</v>
      </c>
      <c r="F40" s="179">
        <v>1</v>
      </c>
      <c r="G40" s="179">
        <v>1</v>
      </c>
      <c r="H40" s="176">
        <v>311</v>
      </c>
      <c r="I40" s="21" t="s">
        <v>42</v>
      </c>
      <c r="J40" s="113">
        <v>11</v>
      </c>
      <c r="K40" s="217">
        <f>43500000+20450000-1500000</f>
        <v>62450000</v>
      </c>
      <c r="L40" s="217">
        <v>60350000</v>
      </c>
    </row>
    <row r="41" spans="2:12" ht="15" customHeight="1" x14ac:dyDescent="0.25">
      <c r="B41" s="16" t="s">
        <v>23</v>
      </c>
      <c r="C41" s="17" t="s">
        <v>24</v>
      </c>
      <c r="D41" s="17">
        <v>3</v>
      </c>
      <c r="E41" s="146">
        <v>1</v>
      </c>
      <c r="F41" s="146">
        <v>1</v>
      </c>
      <c r="G41" s="146">
        <v>3</v>
      </c>
      <c r="H41" s="20">
        <v>311</v>
      </c>
      <c r="I41" s="21" t="s">
        <v>43</v>
      </c>
      <c r="J41" s="113">
        <v>11</v>
      </c>
      <c r="K41" s="217">
        <f>1000000+200000</f>
        <v>1200000</v>
      </c>
      <c r="L41" s="217">
        <v>1200000</v>
      </c>
    </row>
    <row r="42" spans="2:12" ht="15" customHeight="1" x14ac:dyDescent="0.25">
      <c r="B42" s="16" t="s">
        <v>23</v>
      </c>
      <c r="C42" s="17" t="s">
        <v>24</v>
      </c>
      <c r="D42" s="17">
        <v>3</v>
      </c>
      <c r="E42" s="146">
        <v>1</v>
      </c>
      <c r="F42" s="146">
        <v>2</v>
      </c>
      <c r="G42" s="146">
        <v>1</v>
      </c>
      <c r="H42" s="20">
        <v>312</v>
      </c>
      <c r="I42" s="21" t="s">
        <v>32</v>
      </c>
      <c r="J42" s="113">
        <v>11</v>
      </c>
      <c r="K42" s="217">
        <f>1500000+700000</f>
        <v>2200000</v>
      </c>
      <c r="L42" s="217">
        <v>2350000</v>
      </c>
    </row>
    <row r="43" spans="2:12" ht="15" customHeight="1" x14ac:dyDescent="0.25">
      <c r="B43" s="16" t="s">
        <v>23</v>
      </c>
      <c r="C43" s="17" t="s">
        <v>24</v>
      </c>
      <c r="D43" s="17">
        <v>3</v>
      </c>
      <c r="E43" s="146">
        <v>1</v>
      </c>
      <c r="F43" s="146">
        <v>3</v>
      </c>
      <c r="G43" s="146">
        <v>2</v>
      </c>
      <c r="H43" s="20">
        <v>313</v>
      </c>
      <c r="I43" s="21" t="s">
        <v>44</v>
      </c>
      <c r="J43" s="113">
        <v>11</v>
      </c>
      <c r="K43" s="217">
        <f>7400000+3407250-289250</f>
        <v>10518000</v>
      </c>
      <c r="L43" s="217">
        <v>10155750</v>
      </c>
    </row>
    <row r="44" spans="2:12" ht="15" customHeight="1" x14ac:dyDescent="0.25">
      <c r="B44" s="16" t="s">
        <v>23</v>
      </c>
      <c r="C44" s="17" t="s">
        <v>24</v>
      </c>
      <c r="D44" s="17">
        <v>3</v>
      </c>
      <c r="E44" s="146">
        <v>2</v>
      </c>
      <c r="F44" s="146">
        <v>1</v>
      </c>
      <c r="G44" s="146">
        <v>1</v>
      </c>
      <c r="H44" s="20">
        <v>321</v>
      </c>
      <c r="I44" s="21" t="s">
        <v>46</v>
      </c>
      <c r="J44" s="113">
        <v>11</v>
      </c>
      <c r="K44" s="217">
        <f>1300000+130000-200000</f>
        <v>1230000</v>
      </c>
      <c r="L44" s="217">
        <v>830000</v>
      </c>
    </row>
    <row r="45" spans="2:12" ht="15" customHeight="1" x14ac:dyDescent="0.25">
      <c r="B45" s="16" t="s">
        <v>23</v>
      </c>
      <c r="C45" s="17" t="s">
        <v>24</v>
      </c>
      <c r="D45" s="18">
        <v>3</v>
      </c>
      <c r="E45" s="19">
        <v>2</v>
      </c>
      <c r="F45" s="19">
        <v>1</v>
      </c>
      <c r="G45" s="19">
        <v>2</v>
      </c>
      <c r="H45" s="20">
        <v>321</v>
      </c>
      <c r="I45" s="417" t="s">
        <v>47</v>
      </c>
      <c r="J45" s="113">
        <v>11</v>
      </c>
      <c r="K45" s="217">
        <f>1200000+700000</f>
        <v>1900000</v>
      </c>
      <c r="L45" s="217">
        <v>1900000</v>
      </c>
    </row>
    <row r="46" spans="2:12" ht="15" customHeight="1" x14ac:dyDescent="0.25">
      <c r="B46" s="16" t="s">
        <v>23</v>
      </c>
      <c r="C46" s="17" t="s">
        <v>24</v>
      </c>
      <c r="D46" s="18">
        <v>3</v>
      </c>
      <c r="E46" s="19">
        <v>2</v>
      </c>
      <c r="F46" s="19">
        <v>1</v>
      </c>
      <c r="G46" s="19">
        <v>3</v>
      </c>
      <c r="H46" s="20">
        <v>321</v>
      </c>
      <c r="I46" s="21" t="s">
        <v>48</v>
      </c>
      <c r="J46" s="113">
        <v>11</v>
      </c>
      <c r="K46" s="217">
        <f>250000+250000-100000</f>
        <v>400000</v>
      </c>
      <c r="L46" s="217">
        <v>400000</v>
      </c>
    </row>
    <row r="47" spans="2:12" ht="15" customHeight="1" x14ac:dyDescent="0.25">
      <c r="B47" s="16" t="s">
        <v>23</v>
      </c>
      <c r="C47" s="17" t="s">
        <v>24</v>
      </c>
      <c r="D47" s="18">
        <v>3</v>
      </c>
      <c r="E47" s="19">
        <v>2</v>
      </c>
      <c r="F47" s="19">
        <v>1</v>
      </c>
      <c r="G47" s="19">
        <v>4</v>
      </c>
      <c r="H47" s="20">
        <v>321</v>
      </c>
      <c r="I47" s="21" t="s">
        <v>49</v>
      </c>
      <c r="J47" s="113">
        <v>11</v>
      </c>
      <c r="K47" s="217">
        <f>0+20000</f>
        <v>20000</v>
      </c>
      <c r="L47" s="217">
        <v>20000</v>
      </c>
    </row>
    <row r="48" spans="2:12" ht="15" customHeight="1" x14ac:dyDescent="0.25">
      <c r="B48" s="16" t="s">
        <v>23</v>
      </c>
      <c r="C48" s="17" t="s">
        <v>24</v>
      </c>
      <c r="D48" s="17">
        <v>3</v>
      </c>
      <c r="E48" s="146">
        <v>2</v>
      </c>
      <c r="F48" s="146">
        <v>2</v>
      </c>
      <c r="G48" s="146">
        <v>1</v>
      </c>
      <c r="H48" s="20">
        <v>322</v>
      </c>
      <c r="I48" s="21" t="s">
        <v>50</v>
      </c>
      <c r="J48" s="113">
        <v>11</v>
      </c>
      <c r="K48" s="217">
        <f>1100000+450000-100000</f>
        <v>1450000</v>
      </c>
      <c r="L48" s="217">
        <v>1450000</v>
      </c>
    </row>
    <row r="49" spans="2:12" ht="16.5" customHeight="1" x14ac:dyDescent="0.25">
      <c r="B49" s="16" t="s">
        <v>23</v>
      </c>
      <c r="C49" s="17" t="s">
        <v>24</v>
      </c>
      <c r="D49" s="155">
        <v>3</v>
      </c>
      <c r="E49" s="180">
        <v>2</v>
      </c>
      <c r="F49" s="180">
        <v>2</v>
      </c>
      <c r="G49" s="180">
        <v>2</v>
      </c>
      <c r="H49" s="20">
        <v>322</v>
      </c>
      <c r="I49" s="52" t="s">
        <v>51</v>
      </c>
      <c r="J49" s="113">
        <v>11</v>
      </c>
      <c r="K49" s="217">
        <f>50000</f>
        <v>50000</v>
      </c>
      <c r="L49" s="217">
        <v>50000</v>
      </c>
    </row>
    <row r="50" spans="2:12" ht="15" customHeight="1" x14ac:dyDescent="0.25">
      <c r="B50" s="16" t="s">
        <v>23</v>
      </c>
      <c r="C50" s="17" t="s">
        <v>24</v>
      </c>
      <c r="D50" s="17">
        <v>3</v>
      </c>
      <c r="E50" s="146">
        <v>2</v>
      </c>
      <c r="F50" s="146">
        <v>2</v>
      </c>
      <c r="G50" s="146">
        <v>3</v>
      </c>
      <c r="H50" s="20">
        <v>322</v>
      </c>
      <c r="I50" s="52" t="s">
        <v>52</v>
      </c>
      <c r="J50" s="113">
        <v>11</v>
      </c>
      <c r="K50" s="217">
        <f>700000+4200000</f>
        <v>4900000</v>
      </c>
      <c r="L50" s="217">
        <v>4900000</v>
      </c>
    </row>
    <row r="51" spans="2:12" ht="15" customHeight="1" x14ac:dyDescent="0.25">
      <c r="B51" s="16" t="s">
        <v>23</v>
      </c>
      <c r="C51" s="17" t="s">
        <v>24</v>
      </c>
      <c r="D51" s="17">
        <v>3</v>
      </c>
      <c r="E51" s="146">
        <v>2</v>
      </c>
      <c r="F51" s="146">
        <v>2</v>
      </c>
      <c r="G51" s="146">
        <v>4</v>
      </c>
      <c r="H51" s="20">
        <v>322</v>
      </c>
      <c r="I51" s="52" t="s">
        <v>53</v>
      </c>
      <c r="J51" s="113">
        <v>11</v>
      </c>
      <c r="K51" s="217">
        <f>0+400000</f>
        <v>400000</v>
      </c>
      <c r="L51" s="217">
        <v>230000</v>
      </c>
    </row>
    <row r="52" spans="2:12" ht="19.5" customHeight="1" x14ac:dyDescent="0.25">
      <c r="B52" s="16" t="s">
        <v>23</v>
      </c>
      <c r="C52" s="17" t="s">
        <v>24</v>
      </c>
      <c r="D52" s="17">
        <v>3</v>
      </c>
      <c r="E52" s="146">
        <v>2</v>
      </c>
      <c r="F52" s="146">
        <v>2</v>
      </c>
      <c r="G52" s="147">
        <v>5</v>
      </c>
      <c r="H52" s="20">
        <v>322</v>
      </c>
      <c r="I52" s="52" t="s">
        <v>54</v>
      </c>
      <c r="J52" s="113">
        <v>11</v>
      </c>
      <c r="K52" s="217">
        <f>50000+50000</f>
        <v>100000</v>
      </c>
      <c r="L52" s="217">
        <v>100000</v>
      </c>
    </row>
    <row r="53" spans="2:12" ht="15" customHeight="1" x14ac:dyDescent="0.25">
      <c r="B53" s="16" t="s">
        <v>23</v>
      </c>
      <c r="C53" s="17" t="s">
        <v>24</v>
      </c>
      <c r="D53" s="17">
        <v>3</v>
      </c>
      <c r="E53" s="146">
        <v>2</v>
      </c>
      <c r="F53" s="146">
        <v>2</v>
      </c>
      <c r="G53" s="147">
        <v>7</v>
      </c>
      <c r="H53" s="20">
        <v>322</v>
      </c>
      <c r="I53" s="52" t="s">
        <v>55</v>
      </c>
      <c r="J53" s="113">
        <v>11</v>
      </c>
      <c r="K53" s="217">
        <f>50000+10500</f>
        <v>60500</v>
      </c>
      <c r="L53" s="217">
        <v>60500</v>
      </c>
    </row>
    <row r="54" spans="2:12" ht="15" customHeight="1" x14ac:dyDescent="0.25">
      <c r="B54" s="16" t="s">
        <v>23</v>
      </c>
      <c r="C54" s="17" t="s">
        <v>24</v>
      </c>
      <c r="D54" s="17">
        <v>3</v>
      </c>
      <c r="E54" s="146">
        <v>2</v>
      </c>
      <c r="F54" s="146">
        <v>3</v>
      </c>
      <c r="G54" s="146">
        <v>1</v>
      </c>
      <c r="H54" s="20">
        <v>323</v>
      </c>
      <c r="I54" s="52" t="s">
        <v>56</v>
      </c>
      <c r="J54" s="113">
        <v>11</v>
      </c>
      <c r="K54" s="217">
        <f>1500000+700000</f>
        <v>2200000</v>
      </c>
      <c r="L54" s="217">
        <v>2200000</v>
      </c>
    </row>
    <row r="55" spans="2:12" ht="15" customHeight="1" x14ac:dyDescent="0.25">
      <c r="B55" s="16" t="s">
        <v>23</v>
      </c>
      <c r="C55" s="17" t="s">
        <v>24</v>
      </c>
      <c r="D55" s="17">
        <v>3</v>
      </c>
      <c r="E55" s="146">
        <v>2</v>
      </c>
      <c r="F55" s="146">
        <v>3</v>
      </c>
      <c r="G55" s="146">
        <v>3</v>
      </c>
      <c r="H55" s="20">
        <v>323</v>
      </c>
      <c r="I55" s="52" t="s">
        <v>57</v>
      </c>
      <c r="J55" s="113">
        <v>11</v>
      </c>
      <c r="K55" s="217">
        <f>1200000+700000</f>
        <v>1900000</v>
      </c>
      <c r="L55" s="217">
        <v>1900000</v>
      </c>
    </row>
    <row r="56" spans="2:12" ht="15" customHeight="1" x14ac:dyDescent="0.25">
      <c r="B56" s="16" t="s">
        <v>23</v>
      </c>
      <c r="C56" s="17" t="s">
        <v>24</v>
      </c>
      <c r="D56" s="17">
        <v>3</v>
      </c>
      <c r="E56" s="146">
        <v>2</v>
      </c>
      <c r="F56" s="146">
        <v>3</v>
      </c>
      <c r="G56" s="146">
        <v>4</v>
      </c>
      <c r="H56" s="20">
        <v>323</v>
      </c>
      <c r="I56" s="52" t="s">
        <v>58</v>
      </c>
      <c r="J56" s="113">
        <v>11</v>
      </c>
      <c r="K56" s="217">
        <f>500000+10000000-600000</f>
        <v>9900000</v>
      </c>
      <c r="L56" s="217">
        <v>12900000</v>
      </c>
    </row>
    <row r="57" spans="2:12" ht="15" customHeight="1" x14ac:dyDescent="0.25">
      <c r="B57" s="16" t="s">
        <v>23</v>
      </c>
      <c r="C57" s="17" t="s">
        <v>24</v>
      </c>
      <c r="D57" s="17">
        <v>3</v>
      </c>
      <c r="E57" s="146">
        <v>2</v>
      </c>
      <c r="F57" s="146">
        <v>3</v>
      </c>
      <c r="G57" s="146">
        <v>5</v>
      </c>
      <c r="H57" s="20">
        <v>323</v>
      </c>
      <c r="I57" s="52" t="s">
        <v>59</v>
      </c>
      <c r="J57" s="113">
        <v>11</v>
      </c>
      <c r="K57" s="217">
        <f>300000+1700000</f>
        <v>2000000</v>
      </c>
      <c r="L57" s="217">
        <v>2600000</v>
      </c>
    </row>
    <row r="58" spans="2:12" ht="15" customHeight="1" x14ac:dyDescent="0.25">
      <c r="B58" s="16" t="s">
        <v>23</v>
      </c>
      <c r="C58" s="17" t="s">
        <v>24</v>
      </c>
      <c r="D58" s="17">
        <v>3</v>
      </c>
      <c r="E58" s="146">
        <v>2</v>
      </c>
      <c r="F58" s="146">
        <v>3</v>
      </c>
      <c r="G58" s="146">
        <v>6</v>
      </c>
      <c r="H58" s="20">
        <v>323</v>
      </c>
      <c r="I58" s="52" t="s">
        <v>60</v>
      </c>
      <c r="J58" s="113">
        <v>11</v>
      </c>
      <c r="K58" s="217">
        <f>270000+10000</f>
        <v>280000</v>
      </c>
      <c r="L58" s="217">
        <v>280000</v>
      </c>
    </row>
    <row r="59" spans="2:12" x14ac:dyDescent="0.25">
      <c r="B59" s="16" t="s">
        <v>23</v>
      </c>
      <c r="C59" s="17" t="s">
        <v>24</v>
      </c>
      <c r="D59" s="17">
        <v>3</v>
      </c>
      <c r="E59" s="146">
        <v>2</v>
      </c>
      <c r="F59" s="146">
        <v>3</v>
      </c>
      <c r="G59" s="146">
        <v>7</v>
      </c>
      <c r="H59" s="20">
        <v>323</v>
      </c>
      <c r="I59" s="52" t="s">
        <v>61</v>
      </c>
      <c r="J59" s="113">
        <v>11</v>
      </c>
      <c r="K59" s="217">
        <f>500000+5200000-150000-200000-1500-2000000</f>
        <v>3348500</v>
      </c>
      <c r="L59" s="217">
        <v>5348500</v>
      </c>
    </row>
    <row r="60" spans="2:12" ht="17.25" customHeight="1" x14ac:dyDescent="0.25">
      <c r="B60" s="16" t="s">
        <v>23</v>
      </c>
      <c r="C60" s="17" t="s">
        <v>24</v>
      </c>
      <c r="D60" s="17">
        <v>3</v>
      </c>
      <c r="E60" s="146">
        <v>2</v>
      </c>
      <c r="F60" s="146">
        <v>3</v>
      </c>
      <c r="G60" s="146">
        <v>9</v>
      </c>
      <c r="H60" s="20">
        <v>323</v>
      </c>
      <c r="I60" s="52" t="s">
        <v>62</v>
      </c>
      <c r="J60" s="113">
        <v>11</v>
      </c>
      <c r="K60" s="217">
        <f>750000+2500000-300000</f>
        <v>2950000</v>
      </c>
      <c r="L60" s="217">
        <v>2950000</v>
      </c>
    </row>
    <row r="61" spans="2:12" x14ac:dyDescent="0.25">
      <c r="B61" s="16" t="s">
        <v>23</v>
      </c>
      <c r="C61" s="17" t="s">
        <v>24</v>
      </c>
      <c r="D61" s="17">
        <v>3</v>
      </c>
      <c r="E61" s="146">
        <v>2</v>
      </c>
      <c r="F61" s="146">
        <v>4</v>
      </c>
      <c r="G61" s="146">
        <v>1</v>
      </c>
      <c r="H61" s="20">
        <v>324</v>
      </c>
      <c r="I61" s="52" t="s">
        <v>37</v>
      </c>
      <c r="J61" s="113">
        <v>11</v>
      </c>
      <c r="K61" s="217">
        <f>50000+1000</f>
        <v>51000</v>
      </c>
      <c r="L61" s="217">
        <v>51000</v>
      </c>
    </row>
    <row r="62" spans="2:12" x14ac:dyDescent="0.25">
      <c r="B62" s="16" t="s">
        <v>23</v>
      </c>
      <c r="C62" s="17" t="s">
        <v>24</v>
      </c>
      <c r="D62" s="17">
        <v>3</v>
      </c>
      <c r="E62" s="146">
        <v>2</v>
      </c>
      <c r="F62" s="146">
        <v>9</v>
      </c>
      <c r="G62" s="146">
        <v>1</v>
      </c>
      <c r="H62" s="20">
        <v>329</v>
      </c>
      <c r="I62" s="418" t="s">
        <v>63</v>
      </c>
      <c r="J62" s="113">
        <v>11</v>
      </c>
      <c r="K62" s="217">
        <f>1000</f>
        <v>1000</v>
      </c>
      <c r="L62" s="217">
        <v>1000</v>
      </c>
    </row>
    <row r="63" spans="2:12" ht="15" customHeight="1" x14ac:dyDescent="0.25">
      <c r="B63" s="16" t="s">
        <v>23</v>
      </c>
      <c r="C63" s="17" t="s">
        <v>24</v>
      </c>
      <c r="D63" s="17">
        <v>3</v>
      </c>
      <c r="E63" s="146">
        <v>2</v>
      </c>
      <c r="F63" s="146">
        <v>9</v>
      </c>
      <c r="G63" s="146">
        <v>2</v>
      </c>
      <c r="H63" s="20">
        <v>329</v>
      </c>
      <c r="I63" s="21" t="s">
        <v>64</v>
      </c>
      <c r="J63" s="113">
        <v>11</v>
      </c>
      <c r="K63" s="217">
        <f>0+120000</f>
        <v>120000</v>
      </c>
      <c r="L63" s="217">
        <v>120000</v>
      </c>
    </row>
    <row r="64" spans="2:12" ht="15" customHeight="1" x14ac:dyDescent="0.25">
      <c r="B64" s="16" t="s">
        <v>23</v>
      </c>
      <c r="C64" s="17" t="s">
        <v>24</v>
      </c>
      <c r="D64" s="17">
        <v>3</v>
      </c>
      <c r="E64" s="146">
        <v>2</v>
      </c>
      <c r="F64" s="146">
        <v>9</v>
      </c>
      <c r="G64" s="146">
        <v>3</v>
      </c>
      <c r="H64" s="20">
        <v>329</v>
      </c>
      <c r="I64" s="21" t="s">
        <v>65</v>
      </c>
      <c r="J64" s="113">
        <v>11</v>
      </c>
      <c r="K64" s="217">
        <f>360000+90000-100000</f>
        <v>350000</v>
      </c>
      <c r="L64" s="217">
        <v>350000</v>
      </c>
    </row>
    <row r="65" spans="2:12" ht="15" customHeight="1" x14ac:dyDescent="0.25">
      <c r="B65" s="16" t="s">
        <v>23</v>
      </c>
      <c r="C65" s="17" t="s">
        <v>24</v>
      </c>
      <c r="D65" s="17">
        <v>3</v>
      </c>
      <c r="E65" s="146">
        <v>2</v>
      </c>
      <c r="F65" s="146">
        <v>9</v>
      </c>
      <c r="G65" s="146">
        <v>4</v>
      </c>
      <c r="H65" s="20">
        <v>329</v>
      </c>
      <c r="I65" s="21" t="s">
        <v>66</v>
      </c>
      <c r="J65" s="113">
        <v>11</v>
      </c>
      <c r="K65" s="217">
        <f>21000+1000</f>
        <v>22000</v>
      </c>
      <c r="L65" s="217">
        <v>22000</v>
      </c>
    </row>
    <row r="66" spans="2:12" ht="15" customHeight="1" x14ac:dyDescent="0.25">
      <c r="B66" s="214" t="s">
        <v>23</v>
      </c>
      <c r="C66" s="187" t="s">
        <v>24</v>
      </c>
      <c r="D66" s="17">
        <v>3</v>
      </c>
      <c r="E66" s="146">
        <v>2</v>
      </c>
      <c r="F66" s="146">
        <v>9</v>
      </c>
      <c r="G66" s="146">
        <v>5</v>
      </c>
      <c r="H66" s="152">
        <v>329</v>
      </c>
      <c r="I66" s="189" t="s">
        <v>67</v>
      </c>
      <c r="J66" s="113">
        <v>11</v>
      </c>
      <c r="K66" s="217">
        <f>90000+3000000-400000</f>
        <v>2690000</v>
      </c>
      <c r="L66" s="217">
        <v>2690000</v>
      </c>
    </row>
    <row r="67" spans="2:12" x14ac:dyDescent="0.25">
      <c r="B67" s="16" t="s">
        <v>23</v>
      </c>
      <c r="C67" s="17" t="s">
        <v>24</v>
      </c>
      <c r="D67" s="17">
        <v>3</v>
      </c>
      <c r="E67" s="146">
        <v>2</v>
      </c>
      <c r="F67" s="146">
        <v>9</v>
      </c>
      <c r="G67" s="146">
        <v>6</v>
      </c>
      <c r="H67" s="20">
        <v>329</v>
      </c>
      <c r="I67" s="189" t="s">
        <v>68</v>
      </c>
      <c r="J67" s="113">
        <v>11</v>
      </c>
      <c r="K67" s="217">
        <f>500000+14500000-5000000-5000000</f>
        <v>5000000</v>
      </c>
      <c r="L67" s="217">
        <v>7500000</v>
      </c>
    </row>
    <row r="68" spans="2:12" ht="15" customHeight="1" x14ac:dyDescent="0.25">
      <c r="B68" s="16" t="s">
        <v>23</v>
      </c>
      <c r="C68" s="17" t="s">
        <v>24</v>
      </c>
      <c r="D68" s="17">
        <v>3</v>
      </c>
      <c r="E68" s="146">
        <v>2</v>
      </c>
      <c r="F68" s="146">
        <v>9</v>
      </c>
      <c r="G68" s="146">
        <v>9</v>
      </c>
      <c r="H68" s="20">
        <v>329</v>
      </c>
      <c r="I68" s="21" t="s">
        <v>38</v>
      </c>
      <c r="J68" s="113">
        <v>11</v>
      </c>
      <c r="K68" s="217">
        <f>60000+3250000-500000</f>
        <v>2810000</v>
      </c>
      <c r="L68" s="217">
        <v>2810000</v>
      </c>
    </row>
    <row r="69" spans="2:12" ht="15" customHeight="1" x14ac:dyDescent="0.25">
      <c r="B69" s="16" t="s">
        <v>23</v>
      </c>
      <c r="C69" s="17" t="s">
        <v>24</v>
      </c>
      <c r="D69" s="17">
        <v>3</v>
      </c>
      <c r="E69" s="146">
        <v>4</v>
      </c>
      <c r="F69" s="146">
        <v>3</v>
      </c>
      <c r="G69" s="146">
        <v>1</v>
      </c>
      <c r="H69" s="20">
        <v>343</v>
      </c>
      <c r="I69" s="21" t="s">
        <v>69</v>
      </c>
      <c r="J69" s="113">
        <v>11</v>
      </c>
      <c r="K69" s="217">
        <f>20000+30000</f>
        <v>50000</v>
      </c>
      <c r="L69" s="217">
        <v>50000</v>
      </c>
    </row>
    <row r="70" spans="2:12" ht="15" customHeight="1" x14ac:dyDescent="0.25">
      <c r="B70" s="16" t="s">
        <v>23</v>
      </c>
      <c r="C70" s="17" t="s">
        <v>24</v>
      </c>
      <c r="D70" s="17">
        <v>3</v>
      </c>
      <c r="E70" s="146">
        <v>4</v>
      </c>
      <c r="F70" s="146">
        <v>3</v>
      </c>
      <c r="G70" s="146">
        <v>3</v>
      </c>
      <c r="H70" s="20">
        <v>343</v>
      </c>
      <c r="I70" s="21" t="s">
        <v>70</v>
      </c>
      <c r="J70" s="113">
        <v>11</v>
      </c>
      <c r="K70" s="217">
        <f>10000+80000</f>
        <v>90000</v>
      </c>
      <c r="L70" s="217">
        <v>90000</v>
      </c>
    </row>
    <row r="71" spans="2:12" ht="15" customHeight="1" x14ac:dyDescent="0.25">
      <c r="B71" s="16" t="s">
        <v>23</v>
      </c>
      <c r="C71" s="17" t="s">
        <v>24</v>
      </c>
      <c r="D71" s="18">
        <v>3</v>
      </c>
      <c r="E71" s="19">
        <v>4</v>
      </c>
      <c r="F71" s="19">
        <v>3</v>
      </c>
      <c r="G71" s="19">
        <v>4</v>
      </c>
      <c r="H71" s="141">
        <v>343</v>
      </c>
      <c r="I71" s="21" t="s">
        <v>71</v>
      </c>
      <c r="J71" s="113">
        <v>11</v>
      </c>
      <c r="K71" s="217">
        <f>5000+30000</f>
        <v>35000</v>
      </c>
      <c r="L71" s="217">
        <v>35000</v>
      </c>
    </row>
    <row r="72" spans="2:12" ht="25.5" x14ac:dyDescent="0.25">
      <c r="B72" s="16" t="s">
        <v>23</v>
      </c>
      <c r="C72" s="17" t="s">
        <v>24</v>
      </c>
      <c r="D72" s="18">
        <v>3</v>
      </c>
      <c r="E72" s="19">
        <v>6</v>
      </c>
      <c r="F72" s="19">
        <v>9</v>
      </c>
      <c r="G72" s="19">
        <v>1</v>
      </c>
      <c r="H72" s="141">
        <v>369</v>
      </c>
      <c r="I72" s="161" t="s">
        <v>193</v>
      </c>
      <c r="J72" s="113">
        <v>11</v>
      </c>
      <c r="K72" s="217"/>
      <c r="L72" s="217">
        <v>70000</v>
      </c>
    </row>
    <row r="73" spans="2:12" ht="15" customHeight="1" x14ac:dyDescent="0.25">
      <c r="B73" s="16" t="s">
        <v>23</v>
      </c>
      <c r="C73" s="17" t="s">
        <v>24</v>
      </c>
      <c r="D73" s="17">
        <v>4</v>
      </c>
      <c r="E73" s="146">
        <v>2</v>
      </c>
      <c r="F73" s="146">
        <v>1</v>
      </c>
      <c r="G73" s="147">
        <v>1</v>
      </c>
      <c r="H73" s="147">
        <v>421</v>
      </c>
      <c r="I73" s="164" t="s">
        <v>73</v>
      </c>
      <c r="J73" s="336">
        <v>11</v>
      </c>
      <c r="K73" s="419">
        <f>0+250000-150000</f>
        <v>100000</v>
      </c>
      <c r="L73" s="419">
        <v>0</v>
      </c>
    </row>
    <row r="74" spans="2:12" ht="15" customHeight="1" x14ac:dyDescent="0.25">
      <c r="B74" s="16" t="s">
        <v>23</v>
      </c>
      <c r="C74" s="17" t="s">
        <v>24</v>
      </c>
      <c r="D74" s="17">
        <v>4</v>
      </c>
      <c r="E74" s="146">
        <v>2</v>
      </c>
      <c r="F74" s="146">
        <v>1</v>
      </c>
      <c r="G74" s="147">
        <v>2</v>
      </c>
      <c r="H74" s="147">
        <v>421</v>
      </c>
      <c r="I74" s="164" t="s">
        <v>74</v>
      </c>
      <c r="J74" s="336">
        <v>11</v>
      </c>
      <c r="K74" s="419">
        <f>0+250000-150000</f>
        <v>100000</v>
      </c>
      <c r="L74" s="419">
        <v>0</v>
      </c>
    </row>
    <row r="75" spans="2:12" ht="38.25" x14ac:dyDescent="0.25">
      <c r="B75" s="2" t="s">
        <v>23</v>
      </c>
      <c r="C75" s="3" t="s">
        <v>24</v>
      </c>
      <c r="D75" s="3"/>
      <c r="E75" s="4"/>
      <c r="F75" s="4"/>
      <c r="G75" s="4"/>
      <c r="H75" s="5" t="s">
        <v>4</v>
      </c>
      <c r="I75" s="6" t="s">
        <v>25</v>
      </c>
      <c r="J75" s="221">
        <v>52</v>
      </c>
      <c r="K75" s="235">
        <f>SUM(K78)</f>
        <v>20000</v>
      </c>
      <c r="L75" s="235">
        <f>SUM(L78)</f>
        <v>20000</v>
      </c>
    </row>
    <row r="76" spans="2:12" x14ac:dyDescent="0.25">
      <c r="B76" s="351" t="s">
        <v>23</v>
      </c>
      <c r="C76" s="352" t="s">
        <v>24</v>
      </c>
      <c r="D76" s="352"/>
      <c r="E76" s="353"/>
      <c r="F76" s="353"/>
      <c r="G76" s="354"/>
      <c r="H76" s="354">
        <v>32</v>
      </c>
      <c r="I76" s="355" t="s">
        <v>27</v>
      </c>
      <c r="J76" s="221">
        <v>52</v>
      </c>
      <c r="K76" s="358">
        <f t="shared" ref="K76:L76" si="16">K77</f>
        <v>20000</v>
      </c>
      <c r="L76" s="358">
        <f t="shared" si="16"/>
        <v>20000</v>
      </c>
    </row>
    <row r="77" spans="2:12" ht="15" customHeight="1" x14ac:dyDescent="0.25">
      <c r="B77" s="259" t="s">
        <v>23</v>
      </c>
      <c r="C77" s="260" t="s">
        <v>24</v>
      </c>
      <c r="D77" s="253"/>
      <c r="E77" s="254"/>
      <c r="F77" s="254"/>
      <c r="G77" s="255"/>
      <c r="H77" s="261">
        <v>324</v>
      </c>
      <c r="I77" s="256" t="s">
        <v>37</v>
      </c>
      <c r="J77" s="262">
        <v>52</v>
      </c>
      <c r="K77" s="263">
        <f>K78</f>
        <v>20000</v>
      </c>
      <c r="L77" s="263">
        <f>L78</f>
        <v>20000</v>
      </c>
    </row>
    <row r="78" spans="2:12" x14ac:dyDescent="0.25">
      <c r="B78" s="7" t="s">
        <v>23</v>
      </c>
      <c r="C78" s="8" t="s">
        <v>24</v>
      </c>
      <c r="D78" s="14">
        <v>3</v>
      </c>
      <c r="E78" s="15">
        <v>2</v>
      </c>
      <c r="F78" s="15">
        <v>4</v>
      </c>
      <c r="G78" s="25">
        <v>1</v>
      </c>
      <c r="H78" s="51">
        <v>324</v>
      </c>
      <c r="I78" s="27" t="s">
        <v>37</v>
      </c>
      <c r="J78" s="220">
        <v>52</v>
      </c>
      <c r="K78" s="212">
        <v>20000</v>
      </c>
      <c r="L78" s="212">
        <v>20000</v>
      </c>
    </row>
    <row r="79" spans="2:12" ht="38.25" x14ac:dyDescent="0.25">
      <c r="B79" s="2" t="s">
        <v>23</v>
      </c>
      <c r="C79" s="3" t="s">
        <v>75</v>
      </c>
      <c r="D79" s="3"/>
      <c r="E79" s="4"/>
      <c r="F79" s="4"/>
      <c r="G79" s="4"/>
      <c r="H79" s="5" t="s">
        <v>4</v>
      </c>
      <c r="I79" s="6" t="s">
        <v>76</v>
      </c>
      <c r="J79" s="111">
        <v>11</v>
      </c>
      <c r="K79" s="165">
        <f>SUM(K84:K88)</f>
        <v>1475000</v>
      </c>
      <c r="L79" s="130">
        <v>1475000</v>
      </c>
    </row>
    <row r="80" spans="2:12" x14ac:dyDescent="0.25">
      <c r="B80" s="351" t="s">
        <v>23</v>
      </c>
      <c r="C80" s="352" t="s">
        <v>75</v>
      </c>
      <c r="D80" s="352"/>
      <c r="E80" s="353"/>
      <c r="F80" s="353"/>
      <c r="G80" s="354"/>
      <c r="H80" s="354">
        <v>32</v>
      </c>
      <c r="I80" s="355" t="s">
        <v>27</v>
      </c>
      <c r="J80" s="111">
        <v>11</v>
      </c>
      <c r="K80" s="357">
        <f>K81+K82+K83</f>
        <v>1475000</v>
      </c>
      <c r="L80" s="357">
        <v>1475000</v>
      </c>
    </row>
    <row r="81" spans="2:14" x14ac:dyDescent="0.25">
      <c r="B81" s="259" t="s">
        <v>23</v>
      </c>
      <c r="C81" s="260" t="s">
        <v>75</v>
      </c>
      <c r="D81" s="253"/>
      <c r="E81" s="254"/>
      <c r="F81" s="254"/>
      <c r="G81" s="255"/>
      <c r="H81" s="261">
        <v>323</v>
      </c>
      <c r="I81" s="256" t="s">
        <v>36</v>
      </c>
      <c r="J81" s="311">
        <v>11</v>
      </c>
      <c r="K81" s="263">
        <f>K84+K85</f>
        <v>1340000</v>
      </c>
      <c r="L81" s="438">
        <v>1340000</v>
      </c>
      <c r="N81" s="413"/>
    </row>
    <row r="82" spans="2:14" x14ac:dyDescent="0.25">
      <c r="B82" s="259" t="s">
        <v>23</v>
      </c>
      <c r="C82" s="260" t="s">
        <v>75</v>
      </c>
      <c r="D82" s="253"/>
      <c r="E82" s="254"/>
      <c r="F82" s="254"/>
      <c r="G82" s="255"/>
      <c r="H82" s="261">
        <v>324</v>
      </c>
      <c r="I82" s="256" t="s">
        <v>37</v>
      </c>
      <c r="J82" s="311">
        <v>11</v>
      </c>
      <c r="K82" s="263">
        <f>K86</f>
        <v>50000</v>
      </c>
      <c r="L82" s="438">
        <v>50000</v>
      </c>
    </row>
    <row r="83" spans="2:14" x14ac:dyDescent="0.25">
      <c r="B83" s="259" t="s">
        <v>23</v>
      </c>
      <c r="C83" s="260" t="s">
        <v>75</v>
      </c>
      <c r="D83" s="253"/>
      <c r="E83" s="254"/>
      <c r="F83" s="254"/>
      <c r="G83" s="255"/>
      <c r="H83" s="261">
        <v>329</v>
      </c>
      <c r="I83" s="256" t="s">
        <v>38</v>
      </c>
      <c r="J83" s="311">
        <v>11</v>
      </c>
      <c r="K83" s="263">
        <f>K87+K88</f>
        <v>85000</v>
      </c>
      <c r="L83" s="438">
        <v>85000</v>
      </c>
    </row>
    <row r="84" spans="2:14" x14ac:dyDescent="0.25">
      <c r="B84" s="7" t="s">
        <v>23</v>
      </c>
      <c r="C84" s="22" t="s">
        <v>75</v>
      </c>
      <c r="D84" s="8">
        <v>3</v>
      </c>
      <c r="E84" s="1">
        <v>2</v>
      </c>
      <c r="F84" s="1">
        <v>3</v>
      </c>
      <c r="G84" s="1">
        <v>7</v>
      </c>
      <c r="H84" s="13">
        <v>323</v>
      </c>
      <c r="I84" s="24" t="s">
        <v>61</v>
      </c>
      <c r="J84" s="112">
        <v>11</v>
      </c>
      <c r="K84" s="212">
        <v>1300000</v>
      </c>
      <c r="L84" s="212">
        <v>1300000</v>
      </c>
    </row>
    <row r="85" spans="2:14" ht="15" customHeight="1" x14ac:dyDescent="0.25">
      <c r="B85" s="7" t="s">
        <v>23</v>
      </c>
      <c r="C85" s="155" t="s">
        <v>75</v>
      </c>
      <c r="D85" s="18">
        <v>3</v>
      </c>
      <c r="E85" s="19">
        <v>2</v>
      </c>
      <c r="F85" s="19">
        <v>3</v>
      </c>
      <c r="G85" s="19">
        <v>9</v>
      </c>
      <c r="H85" s="141">
        <v>323</v>
      </c>
      <c r="I85" s="52" t="s">
        <v>62</v>
      </c>
      <c r="J85" s="113">
        <v>11</v>
      </c>
      <c r="K85" s="212">
        <v>40000</v>
      </c>
      <c r="L85" s="212">
        <v>40000</v>
      </c>
    </row>
    <row r="86" spans="2:14" ht="15" customHeight="1" x14ac:dyDescent="0.25">
      <c r="B86" s="16" t="s">
        <v>23</v>
      </c>
      <c r="C86" s="155" t="s">
        <v>75</v>
      </c>
      <c r="D86" s="18">
        <v>3</v>
      </c>
      <c r="E86" s="19">
        <v>2</v>
      </c>
      <c r="F86" s="19">
        <v>4</v>
      </c>
      <c r="G86" s="19">
        <v>1</v>
      </c>
      <c r="H86" s="141">
        <v>324</v>
      </c>
      <c r="I86" s="27" t="s">
        <v>37</v>
      </c>
      <c r="J86" s="113">
        <v>11</v>
      </c>
      <c r="K86" s="212">
        <v>50000</v>
      </c>
      <c r="L86" s="212">
        <v>50000</v>
      </c>
    </row>
    <row r="87" spans="2:14" x14ac:dyDescent="0.25">
      <c r="B87" s="7" t="s">
        <v>23</v>
      </c>
      <c r="C87" s="22" t="s">
        <v>75</v>
      </c>
      <c r="D87" s="8">
        <v>3</v>
      </c>
      <c r="E87" s="1">
        <v>2</v>
      </c>
      <c r="F87" s="1">
        <v>9</v>
      </c>
      <c r="G87" s="1">
        <v>1</v>
      </c>
      <c r="H87" s="13">
        <v>329</v>
      </c>
      <c r="I87" s="27" t="s">
        <v>63</v>
      </c>
      <c r="J87" s="112">
        <v>11</v>
      </c>
      <c r="K87" s="212">
        <v>60000</v>
      </c>
      <c r="L87" s="212">
        <v>60000</v>
      </c>
    </row>
    <row r="88" spans="2:14" ht="15" customHeight="1" x14ac:dyDescent="0.25">
      <c r="B88" s="7" t="s">
        <v>23</v>
      </c>
      <c r="C88" s="22" t="s">
        <v>75</v>
      </c>
      <c r="D88" s="14">
        <v>3</v>
      </c>
      <c r="E88" s="15">
        <v>2</v>
      </c>
      <c r="F88" s="15">
        <v>9</v>
      </c>
      <c r="G88" s="15">
        <v>4</v>
      </c>
      <c r="H88" s="26">
        <v>329</v>
      </c>
      <c r="I88" s="12" t="s">
        <v>66</v>
      </c>
      <c r="J88" s="112">
        <v>11</v>
      </c>
      <c r="K88" s="212">
        <v>25000</v>
      </c>
      <c r="L88" s="212">
        <v>25000</v>
      </c>
    </row>
    <row r="89" spans="2:14" ht="25.5" x14ac:dyDescent="0.25">
      <c r="B89" s="2" t="s">
        <v>23</v>
      </c>
      <c r="C89" s="3" t="s">
        <v>80</v>
      </c>
      <c r="D89" s="3"/>
      <c r="E89" s="4"/>
      <c r="F89" s="4"/>
      <c r="G89" s="4"/>
      <c r="H89" s="5" t="s">
        <v>4</v>
      </c>
      <c r="I89" s="6" t="s">
        <v>81</v>
      </c>
      <c r="J89" s="111">
        <v>11</v>
      </c>
      <c r="K89" s="165">
        <f>SUM(K95:K98)</f>
        <v>800000</v>
      </c>
      <c r="L89" s="130">
        <f>SUM(L95:L98)</f>
        <v>720000</v>
      </c>
    </row>
    <row r="90" spans="2:14" x14ac:dyDescent="0.25">
      <c r="B90" s="351" t="s">
        <v>23</v>
      </c>
      <c r="C90" s="352" t="s">
        <v>80</v>
      </c>
      <c r="D90" s="359"/>
      <c r="E90" s="360"/>
      <c r="F90" s="360"/>
      <c r="G90" s="354"/>
      <c r="H90" s="361">
        <v>32</v>
      </c>
      <c r="I90" s="355" t="s">
        <v>27</v>
      </c>
      <c r="J90" s="111">
        <v>11</v>
      </c>
      <c r="K90" s="356">
        <f>K92+K93</f>
        <v>720000</v>
      </c>
      <c r="L90" s="357">
        <f>L92+L93</f>
        <v>720000</v>
      </c>
    </row>
    <row r="91" spans="2:14" x14ac:dyDescent="0.25">
      <c r="B91" s="351" t="s">
        <v>23</v>
      </c>
      <c r="C91" s="352" t="s">
        <v>80</v>
      </c>
      <c r="D91" s="359"/>
      <c r="E91" s="360"/>
      <c r="F91" s="360"/>
      <c r="G91" s="354"/>
      <c r="H91" s="361">
        <v>38</v>
      </c>
      <c r="I91" s="355" t="s">
        <v>29</v>
      </c>
      <c r="J91" s="111">
        <v>11</v>
      </c>
      <c r="K91" s="356">
        <f t="shared" ref="K91:L91" si="17">K94</f>
        <v>80000</v>
      </c>
      <c r="L91" s="357">
        <f t="shared" si="17"/>
        <v>0</v>
      </c>
    </row>
    <row r="92" spans="2:14" ht="15" customHeight="1" x14ac:dyDescent="0.25">
      <c r="B92" s="259" t="s">
        <v>23</v>
      </c>
      <c r="C92" s="260" t="s">
        <v>80</v>
      </c>
      <c r="D92" s="264"/>
      <c r="E92" s="265"/>
      <c r="F92" s="265"/>
      <c r="G92" s="266"/>
      <c r="H92" s="266">
        <v>323</v>
      </c>
      <c r="I92" s="269" t="s">
        <v>36</v>
      </c>
      <c r="J92" s="112">
        <v>11</v>
      </c>
      <c r="K92" s="257">
        <f>K95+K96</f>
        <v>710000</v>
      </c>
      <c r="L92" s="258">
        <f>L95+L96</f>
        <v>710000</v>
      </c>
    </row>
    <row r="93" spans="2:14" ht="15" customHeight="1" x14ac:dyDescent="0.25">
      <c r="B93" s="259" t="s">
        <v>23</v>
      </c>
      <c r="C93" s="260" t="s">
        <v>80</v>
      </c>
      <c r="D93" s="264"/>
      <c r="E93" s="265"/>
      <c r="F93" s="265"/>
      <c r="G93" s="266"/>
      <c r="H93" s="266">
        <v>324</v>
      </c>
      <c r="I93" s="269" t="s">
        <v>37</v>
      </c>
      <c r="J93" s="112">
        <v>11</v>
      </c>
      <c r="K93" s="257">
        <f t="shared" ref="K93:L93" si="18">K97</f>
        <v>10000</v>
      </c>
      <c r="L93" s="258">
        <f t="shared" si="18"/>
        <v>10000</v>
      </c>
    </row>
    <row r="94" spans="2:14" ht="15" customHeight="1" x14ac:dyDescent="0.25">
      <c r="B94" s="259" t="s">
        <v>23</v>
      </c>
      <c r="C94" s="260" t="s">
        <v>80</v>
      </c>
      <c r="D94" s="264"/>
      <c r="E94" s="265"/>
      <c r="F94" s="265"/>
      <c r="G94" s="266"/>
      <c r="H94" s="266">
        <v>381</v>
      </c>
      <c r="I94" s="269" t="s">
        <v>84</v>
      </c>
      <c r="J94" s="112">
        <v>11</v>
      </c>
      <c r="K94" s="257">
        <f>K98</f>
        <v>80000</v>
      </c>
      <c r="L94" s="258">
        <f>L98</f>
        <v>0</v>
      </c>
    </row>
    <row r="95" spans="2:14" x14ac:dyDescent="0.25">
      <c r="B95" s="7" t="s">
        <v>23</v>
      </c>
      <c r="C95" s="8" t="s">
        <v>80</v>
      </c>
      <c r="D95" s="8">
        <v>3</v>
      </c>
      <c r="E95" s="1">
        <v>2</v>
      </c>
      <c r="F95" s="1">
        <v>3</v>
      </c>
      <c r="G95" s="1">
        <v>7</v>
      </c>
      <c r="H95" s="13">
        <v>323</v>
      </c>
      <c r="I95" s="24" t="s">
        <v>61</v>
      </c>
      <c r="J95" s="112">
        <v>11</v>
      </c>
      <c r="K95" s="201">
        <f>900000-200000</f>
        <v>700000</v>
      </c>
      <c r="L95" s="217">
        <v>700000</v>
      </c>
    </row>
    <row r="96" spans="2:14" x14ac:dyDescent="0.25">
      <c r="B96" s="16" t="s">
        <v>23</v>
      </c>
      <c r="C96" s="17" t="s">
        <v>80</v>
      </c>
      <c r="D96" s="17">
        <v>3</v>
      </c>
      <c r="E96" s="146">
        <v>2</v>
      </c>
      <c r="F96" s="146">
        <v>3</v>
      </c>
      <c r="G96" s="146">
        <v>9</v>
      </c>
      <c r="H96" s="20">
        <v>323</v>
      </c>
      <c r="I96" s="215" t="s">
        <v>86</v>
      </c>
      <c r="J96" s="113">
        <v>11</v>
      </c>
      <c r="K96" s="201">
        <v>10000</v>
      </c>
      <c r="L96" s="217">
        <v>10000</v>
      </c>
    </row>
    <row r="97" spans="2:12" ht="15" customHeight="1" x14ac:dyDescent="0.25">
      <c r="B97" s="16" t="s">
        <v>23</v>
      </c>
      <c r="C97" s="17" t="s">
        <v>80</v>
      </c>
      <c r="D97" s="17">
        <v>3</v>
      </c>
      <c r="E97" s="146">
        <v>2</v>
      </c>
      <c r="F97" s="146">
        <v>4</v>
      </c>
      <c r="G97" s="146">
        <v>1</v>
      </c>
      <c r="H97" s="20">
        <v>324</v>
      </c>
      <c r="I97" s="245" t="s">
        <v>37</v>
      </c>
      <c r="J97" s="246">
        <v>11</v>
      </c>
      <c r="K97" s="201">
        <v>10000</v>
      </c>
      <c r="L97" s="217">
        <v>10000</v>
      </c>
    </row>
    <row r="98" spans="2:12" ht="17.25" customHeight="1" x14ac:dyDescent="0.25">
      <c r="B98" s="16" t="s">
        <v>23</v>
      </c>
      <c r="C98" s="17" t="s">
        <v>80</v>
      </c>
      <c r="D98" s="17">
        <v>3</v>
      </c>
      <c r="E98" s="146">
        <v>8</v>
      </c>
      <c r="F98" s="146">
        <v>1</v>
      </c>
      <c r="G98" s="146">
        <v>1</v>
      </c>
      <c r="H98" s="20">
        <v>381</v>
      </c>
      <c r="I98" s="247" t="s">
        <v>88</v>
      </c>
      <c r="J98" s="246">
        <v>11</v>
      </c>
      <c r="K98" s="201">
        <v>80000</v>
      </c>
      <c r="L98" s="217">
        <v>0</v>
      </c>
    </row>
    <row r="99" spans="2:12" ht="15" customHeight="1" x14ac:dyDescent="0.25">
      <c r="B99" s="2" t="s">
        <v>23</v>
      </c>
      <c r="C99" s="3" t="s">
        <v>89</v>
      </c>
      <c r="D99" s="3"/>
      <c r="E99" s="4"/>
      <c r="F99" s="4"/>
      <c r="G99" s="4"/>
      <c r="H99" s="5" t="s">
        <v>4</v>
      </c>
      <c r="I99" s="6" t="s">
        <v>90</v>
      </c>
      <c r="J99" s="111">
        <v>11</v>
      </c>
      <c r="K99" s="165">
        <f>SUM(K103:K107)</f>
        <v>1050000</v>
      </c>
      <c r="L99" s="130">
        <f>SUM(L103:L107)</f>
        <v>2280000</v>
      </c>
    </row>
    <row r="100" spans="2:12" ht="15" customHeight="1" x14ac:dyDescent="0.25">
      <c r="B100" s="351" t="s">
        <v>23</v>
      </c>
      <c r="C100" s="352" t="s">
        <v>89</v>
      </c>
      <c r="D100" s="359"/>
      <c r="E100" s="360"/>
      <c r="F100" s="360"/>
      <c r="G100" s="354"/>
      <c r="H100" s="361">
        <v>32</v>
      </c>
      <c r="I100" s="355" t="s">
        <v>27</v>
      </c>
      <c r="J100" s="111">
        <v>11</v>
      </c>
      <c r="K100" s="356">
        <f t="shared" ref="K100" si="19">K101+K102</f>
        <v>1050000</v>
      </c>
      <c r="L100" s="357">
        <f t="shared" ref="L100" si="20">L101+L102</f>
        <v>2280000</v>
      </c>
    </row>
    <row r="101" spans="2:12" ht="15" customHeight="1" x14ac:dyDescent="0.25">
      <c r="B101" s="259" t="s">
        <v>23</v>
      </c>
      <c r="C101" s="260" t="s">
        <v>89</v>
      </c>
      <c r="D101" s="264"/>
      <c r="E101" s="265"/>
      <c r="F101" s="265"/>
      <c r="G101" s="255"/>
      <c r="H101" s="266">
        <v>322</v>
      </c>
      <c r="I101" s="256" t="s">
        <v>35</v>
      </c>
      <c r="J101" s="112">
        <v>11</v>
      </c>
      <c r="K101" s="257">
        <f>K103+K104</f>
        <v>350000</v>
      </c>
      <c r="L101" s="258">
        <f>L103+L104</f>
        <v>1150000</v>
      </c>
    </row>
    <row r="102" spans="2:12" x14ac:dyDescent="0.25">
      <c r="B102" s="259" t="s">
        <v>23</v>
      </c>
      <c r="C102" s="260" t="s">
        <v>89</v>
      </c>
      <c r="D102" s="264"/>
      <c r="E102" s="265"/>
      <c r="F102" s="265"/>
      <c r="G102" s="266"/>
      <c r="H102" s="266">
        <v>323</v>
      </c>
      <c r="I102" s="256" t="s">
        <v>36</v>
      </c>
      <c r="J102" s="112">
        <v>11</v>
      </c>
      <c r="K102" s="257">
        <f>K105+K106+K107</f>
        <v>700000</v>
      </c>
      <c r="L102" s="258">
        <f>L105+L106+L107</f>
        <v>1130000</v>
      </c>
    </row>
    <row r="103" spans="2:12" ht="15" customHeight="1" x14ac:dyDescent="0.25">
      <c r="B103" s="7" t="s">
        <v>23</v>
      </c>
      <c r="C103" s="8" t="s">
        <v>89</v>
      </c>
      <c r="D103" s="22">
        <v>3</v>
      </c>
      <c r="E103" s="23">
        <v>2</v>
      </c>
      <c r="F103" s="23">
        <v>2</v>
      </c>
      <c r="G103" s="23">
        <v>3</v>
      </c>
      <c r="H103" s="11">
        <v>322</v>
      </c>
      <c r="I103" s="12" t="s">
        <v>91</v>
      </c>
      <c r="J103" s="112">
        <v>11</v>
      </c>
      <c r="K103" s="244">
        <v>300000</v>
      </c>
      <c r="L103" s="217">
        <v>1100000</v>
      </c>
    </row>
    <row r="104" spans="2:12" x14ac:dyDescent="0.25">
      <c r="B104" s="7" t="s">
        <v>23</v>
      </c>
      <c r="C104" s="8" t="s">
        <v>89</v>
      </c>
      <c r="D104" s="8">
        <v>3</v>
      </c>
      <c r="E104" s="1">
        <v>2</v>
      </c>
      <c r="F104" s="1">
        <v>2</v>
      </c>
      <c r="G104" s="1">
        <v>5</v>
      </c>
      <c r="H104" s="13">
        <v>322</v>
      </c>
      <c r="I104" s="12" t="s">
        <v>54</v>
      </c>
      <c r="J104" s="112">
        <v>11</v>
      </c>
      <c r="K104" s="244">
        <v>50000</v>
      </c>
      <c r="L104" s="217">
        <v>50000</v>
      </c>
    </row>
    <row r="105" spans="2:12" ht="15" customHeight="1" x14ac:dyDescent="0.25">
      <c r="B105" s="7" t="s">
        <v>23</v>
      </c>
      <c r="C105" s="8" t="s">
        <v>89</v>
      </c>
      <c r="D105" s="8">
        <v>3</v>
      </c>
      <c r="E105" s="1">
        <v>2</v>
      </c>
      <c r="F105" s="1">
        <v>3</v>
      </c>
      <c r="G105" s="25">
        <v>2</v>
      </c>
      <c r="H105" s="13">
        <v>323</v>
      </c>
      <c r="I105" s="12" t="s">
        <v>78</v>
      </c>
      <c r="J105" s="112">
        <v>11</v>
      </c>
      <c r="K105" s="244">
        <v>500000</v>
      </c>
      <c r="L105" s="217">
        <v>730000</v>
      </c>
    </row>
    <row r="106" spans="2:12" x14ac:dyDescent="0.25">
      <c r="B106" s="7" t="s">
        <v>23</v>
      </c>
      <c r="C106" s="8" t="s">
        <v>89</v>
      </c>
      <c r="D106" s="8">
        <v>3</v>
      </c>
      <c r="E106" s="1">
        <v>2</v>
      </c>
      <c r="F106" s="1">
        <v>3</v>
      </c>
      <c r="G106" s="1">
        <v>5</v>
      </c>
      <c r="H106" s="13">
        <v>323</v>
      </c>
      <c r="I106" s="12" t="s">
        <v>59</v>
      </c>
      <c r="J106" s="112">
        <v>11</v>
      </c>
      <c r="K106" s="244">
        <v>100000</v>
      </c>
      <c r="L106" s="217">
        <v>220000</v>
      </c>
    </row>
    <row r="107" spans="2:12" x14ac:dyDescent="0.25">
      <c r="B107" s="7" t="s">
        <v>23</v>
      </c>
      <c r="C107" s="8" t="s">
        <v>89</v>
      </c>
      <c r="D107" s="8">
        <v>3</v>
      </c>
      <c r="E107" s="1">
        <v>2</v>
      </c>
      <c r="F107" s="1">
        <v>3</v>
      </c>
      <c r="G107" s="1">
        <v>9</v>
      </c>
      <c r="H107" s="13">
        <v>323</v>
      </c>
      <c r="I107" s="12" t="s">
        <v>86</v>
      </c>
      <c r="J107" s="112">
        <v>11</v>
      </c>
      <c r="K107" s="244">
        <v>100000</v>
      </c>
      <c r="L107" s="217">
        <v>180000</v>
      </c>
    </row>
    <row r="108" spans="2:12" ht="38.25" x14ac:dyDescent="0.25">
      <c r="B108" s="2" t="s">
        <v>23</v>
      </c>
      <c r="C108" s="3" t="s">
        <v>92</v>
      </c>
      <c r="D108" s="3"/>
      <c r="E108" s="4"/>
      <c r="F108" s="4"/>
      <c r="G108" s="4"/>
      <c r="H108" s="5" t="s">
        <v>4</v>
      </c>
      <c r="I108" s="6" t="s">
        <v>93</v>
      </c>
      <c r="J108" s="118">
        <v>43</v>
      </c>
      <c r="K108" s="165">
        <f>SUM(K118:K128)</f>
        <v>2345000</v>
      </c>
      <c r="L108" s="130">
        <f>SUM(L118:L128)</f>
        <v>2345000</v>
      </c>
    </row>
    <row r="109" spans="2:12" x14ac:dyDescent="0.25">
      <c r="B109" s="351" t="s">
        <v>23</v>
      </c>
      <c r="C109" s="352" t="s">
        <v>92</v>
      </c>
      <c r="D109" s="359"/>
      <c r="E109" s="360"/>
      <c r="F109" s="360"/>
      <c r="G109" s="354"/>
      <c r="H109" s="361">
        <v>32</v>
      </c>
      <c r="I109" s="355" t="s">
        <v>27</v>
      </c>
      <c r="J109" s="118">
        <v>43</v>
      </c>
      <c r="K109" s="356">
        <f t="shared" ref="K109:L109" si="21">K111+K112+K113+K114+K115</f>
        <v>1225000</v>
      </c>
      <c r="L109" s="357">
        <f t="shared" si="21"/>
        <v>1225000</v>
      </c>
    </row>
    <row r="110" spans="2:12" ht="25.5" x14ac:dyDescent="0.25">
      <c r="B110" s="351" t="s">
        <v>23</v>
      </c>
      <c r="C110" s="352" t="s">
        <v>92</v>
      </c>
      <c r="D110" s="359"/>
      <c r="E110" s="360"/>
      <c r="F110" s="360"/>
      <c r="G110" s="354"/>
      <c r="H110" s="361">
        <v>42</v>
      </c>
      <c r="I110" s="355" t="s">
        <v>30</v>
      </c>
      <c r="J110" s="118">
        <v>43</v>
      </c>
      <c r="K110" s="356">
        <f t="shared" ref="K110:L110" si="22">K116+K117</f>
        <v>1120000</v>
      </c>
      <c r="L110" s="357">
        <f t="shared" si="22"/>
        <v>1120000</v>
      </c>
    </row>
    <row r="111" spans="2:12" ht="15" customHeight="1" x14ac:dyDescent="0.25">
      <c r="B111" s="259" t="s">
        <v>23</v>
      </c>
      <c r="C111" s="260" t="s">
        <v>92</v>
      </c>
      <c r="D111" s="264"/>
      <c r="E111" s="265"/>
      <c r="F111" s="265"/>
      <c r="G111" s="266"/>
      <c r="H111" s="266">
        <v>321</v>
      </c>
      <c r="I111" s="256" t="s">
        <v>34</v>
      </c>
      <c r="J111" s="119">
        <v>43</v>
      </c>
      <c r="K111" s="257">
        <f t="shared" ref="K111:L112" si="23">K118</f>
        <v>10000</v>
      </c>
      <c r="L111" s="258">
        <f t="shared" si="23"/>
        <v>10000</v>
      </c>
    </row>
    <row r="112" spans="2:12" ht="15" customHeight="1" x14ac:dyDescent="0.25">
      <c r="B112" s="259" t="s">
        <v>23</v>
      </c>
      <c r="C112" s="260" t="s">
        <v>92</v>
      </c>
      <c r="D112" s="264"/>
      <c r="E112" s="265"/>
      <c r="F112" s="265"/>
      <c r="G112" s="266"/>
      <c r="H112" s="266">
        <v>322</v>
      </c>
      <c r="I112" s="256" t="s">
        <v>35</v>
      </c>
      <c r="J112" s="119">
        <v>43</v>
      </c>
      <c r="K112" s="257">
        <f t="shared" si="23"/>
        <v>5000</v>
      </c>
      <c r="L112" s="258">
        <f t="shared" si="23"/>
        <v>5000</v>
      </c>
    </row>
    <row r="113" spans="2:12" ht="15" customHeight="1" x14ac:dyDescent="0.25">
      <c r="B113" s="259" t="s">
        <v>23</v>
      </c>
      <c r="C113" s="260" t="s">
        <v>92</v>
      </c>
      <c r="D113" s="264"/>
      <c r="E113" s="265"/>
      <c r="F113" s="265"/>
      <c r="G113" s="266"/>
      <c r="H113" s="266">
        <v>323</v>
      </c>
      <c r="I113" s="256" t="s">
        <v>36</v>
      </c>
      <c r="J113" s="119">
        <v>43</v>
      </c>
      <c r="K113" s="257">
        <f>K121+K122+K123+K120</f>
        <v>400000</v>
      </c>
      <c r="L113" s="258">
        <f>L121+L122+L123+L120</f>
        <v>400000</v>
      </c>
    </row>
    <row r="114" spans="2:12" ht="15" customHeight="1" x14ac:dyDescent="0.25">
      <c r="B114" s="259" t="s">
        <v>23</v>
      </c>
      <c r="C114" s="260" t="s">
        <v>92</v>
      </c>
      <c r="D114" s="264"/>
      <c r="E114" s="265"/>
      <c r="F114" s="265"/>
      <c r="G114" s="266"/>
      <c r="H114" s="266">
        <v>324</v>
      </c>
      <c r="I114" s="256" t="s">
        <v>37</v>
      </c>
      <c r="J114" s="119">
        <v>43</v>
      </c>
      <c r="K114" s="257">
        <f t="shared" ref="K114:L115" si="24">K124</f>
        <v>10000</v>
      </c>
      <c r="L114" s="258">
        <f t="shared" si="24"/>
        <v>10000</v>
      </c>
    </row>
    <row r="115" spans="2:12" x14ac:dyDescent="0.25">
      <c r="B115" s="259" t="s">
        <v>23</v>
      </c>
      <c r="C115" s="260" t="s">
        <v>92</v>
      </c>
      <c r="D115" s="264"/>
      <c r="E115" s="265"/>
      <c r="F115" s="265"/>
      <c r="G115" s="266"/>
      <c r="H115" s="266">
        <v>329</v>
      </c>
      <c r="I115" s="256" t="s">
        <v>38</v>
      </c>
      <c r="J115" s="119">
        <v>43</v>
      </c>
      <c r="K115" s="257">
        <f t="shared" si="24"/>
        <v>800000</v>
      </c>
      <c r="L115" s="258">
        <f t="shared" si="24"/>
        <v>800000</v>
      </c>
    </row>
    <row r="116" spans="2:12" ht="15" customHeight="1" x14ac:dyDescent="0.25">
      <c r="B116" s="259" t="s">
        <v>23</v>
      </c>
      <c r="C116" s="260" t="s">
        <v>92</v>
      </c>
      <c r="D116" s="264"/>
      <c r="E116" s="265"/>
      <c r="F116" s="265"/>
      <c r="G116" s="266"/>
      <c r="H116" s="266">
        <v>422</v>
      </c>
      <c r="I116" s="256" t="s">
        <v>94</v>
      </c>
      <c r="J116" s="119">
        <v>43</v>
      </c>
      <c r="K116" s="257">
        <f>K126+K127</f>
        <v>20000</v>
      </c>
      <c r="L116" s="258">
        <f>L126+L127</f>
        <v>20000</v>
      </c>
    </row>
    <row r="117" spans="2:12" ht="15" customHeight="1" x14ac:dyDescent="0.25">
      <c r="B117" s="259" t="s">
        <v>23</v>
      </c>
      <c r="C117" s="260" t="s">
        <v>92</v>
      </c>
      <c r="D117" s="264"/>
      <c r="E117" s="265"/>
      <c r="F117" s="265"/>
      <c r="G117" s="255"/>
      <c r="H117" s="266">
        <v>426</v>
      </c>
      <c r="I117" s="256" t="s">
        <v>77</v>
      </c>
      <c r="J117" s="119">
        <v>43</v>
      </c>
      <c r="K117" s="257">
        <f>K128</f>
        <v>1100000</v>
      </c>
      <c r="L117" s="258">
        <f>L128</f>
        <v>1100000</v>
      </c>
    </row>
    <row r="118" spans="2:12" ht="15" customHeight="1" x14ac:dyDescent="0.25">
      <c r="B118" s="16" t="s">
        <v>23</v>
      </c>
      <c r="C118" s="17" t="s">
        <v>92</v>
      </c>
      <c r="D118" s="17">
        <v>3</v>
      </c>
      <c r="E118" s="146">
        <v>2</v>
      </c>
      <c r="F118" s="146">
        <v>1</v>
      </c>
      <c r="G118" s="146">
        <v>3</v>
      </c>
      <c r="H118" s="20">
        <v>321</v>
      </c>
      <c r="I118" s="21" t="s">
        <v>48</v>
      </c>
      <c r="J118" s="119">
        <v>43</v>
      </c>
      <c r="K118" s="201">
        <v>10000</v>
      </c>
      <c r="L118" s="217">
        <v>10000</v>
      </c>
    </row>
    <row r="119" spans="2:12" ht="15" customHeight="1" x14ac:dyDescent="0.25">
      <c r="B119" s="16" t="s">
        <v>23</v>
      </c>
      <c r="C119" s="17" t="s">
        <v>92</v>
      </c>
      <c r="D119" s="17">
        <v>3</v>
      </c>
      <c r="E119" s="146">
        <v>2</v>
      </c>
      <c r="F119" s="146">
        <v>2</v>
      </c>
      <c r="G119" s="146">
        <v>1</v>
      </c>
      <c r="H119" s="20">
        <v>322</v>
      </c>
      <c r="I119" s="21" t="s">
        <v>50</v>
      </c>
      <c r="J119" s="119">
        <v>43</v>
      </c>
      <c r="K119" s="201">
        <v>5000</v>
      </c>
      <c r="L119" s="217">
        <v>5000</v>
      </c>
    </row>
    <row r="120" spans="2:12" x14ac:dyDescent="0.25">
      <c r="B120" s="16" t="s">
        <v>23</v>
      </c>
      <c r="C120" s="17" t="s">
        <v>92</v>
      </c>
      <c r="D120" s="17">
        <v>3</v>
      </c>
      <c r="E120" s="146">
        <v>2</v>
      </c>
      <c r="F120" s="146">
        <v>3</v>
      </c>
      <c r="G120" s="146">
        <v>2</v>
      </c>
      <c r="H120" s="20">
        <v>323</v>
      </c>
      <c r="I120" s="21" t="s">
        <v>78</v>
      </c>
      <c r="J120" s="119">
        <v>43</v>
      </c>
      <c r="K120" s="201">
        <v>300000</v>
      </c>
      <c r="L120" s="217">
        <v>300000</v>
      </c>
    </row>
    <row r="121" spans="2:12" ht="15" customHeight="1" x14ac:dyDescent="0.25">
      <c r="B121" s="7" t="s">
        <v>23</v>
      </c>
      <c r="C121" s="8" t="s">
        <v>92</v>
      </c>
      <c r="D121" s="8">
        <v>3</v>
      </c>
      <c r="E121" s="1">
        <v>2</v>
      </c>
      <c r="F121" s="1">
        <v>3</v>
      </c>
      <c r="G121" s="1">
        <v>7</v>
      </c>
      <c r="H121" s="13">
        <v>323</v>
      </c>
      <c r="I121" s="24" t="s">
        <v>61</v>
      </c>
      <c r="J121" s="119">
        <v>43</v>
      </c>
      <c r="K121" s="201">
        <v>30000</v>
      </c>
      <c r="L121" s="217">
        <v>30000</v>
      </c>
    </row>
    <row r="122" spans="2:12" ht="15" customHeight="1" x14ac:dyDescent="0.25">
      <c r="B122" s="16" t="s">
        <v>23</v>
      </c>
      <c r="C122" s="17" t="s">
        <v>92</v>
      </c>
      <c r="D122" s="18">
        <v>3</v>
      </c>
      <c r="E122" s="19">
        <v>2</v>
      </c>
      <c r="F122" s="19">
        <v>3</v>
      </c>
      <c r="G122" s="19">
        <v>8</v>
      </c>
      <c r="H122" s="141">
        <v>323</v>
      </c>
      <c r="I122" s="52" t="s">
        <v>85</v>
      </c>
      <c r="J122" s="119">
        <v>43</v>
      </c>
      <c r="K122" s="201">
        <v>50000</v>
      </c>
      <c r="L122" s="217">
        <v>50000</v>
      </c>
    </row>
    <row r="123" spans="2:12" ht="15" customHeight="1" x14ac:dyDescent="0.25">
      <c r="B123" s="16" t="s">
        <v>23</v>
      </c>
      <c r="C123" s="17" t="s">
        <v>92</v>
      </c>
      <c r="D123" s="18">
        <v>3</v>
      </c>
      <c r="E123" s="19">
        <v>2</v>
      </c>
      <c r="F123" s="19">
        <v>3</v>
      </c>
      <c r="G123" s="19">
        <v>9</v>
      </c>
      <c r="H123" s="141">
        <v>323</v>
      </c>
      <c r="I123" s="52" t="s">
        <v>86</v>
      </c>
      <c r="J123" s="119">
        <v>43</v>
      </c>
      <c r="K123" s="201">
        <v>20000</v>
      </c>
      <c r="L123" s="217">
        <v>20000</v>
      </c>
    </row>
    <row r="124" spans="2:12" ht="15" customHeight="1" x14ac:dyDescent="0.25">
      <c r="B124" s="16" t="s">
        <v>23</v>
      </c>
      <c r="C124" s="17" t="s">
        <v>92</v>
      </c>
      <c r="D124" s="17">
        <v>3</v>
      </c>
      <c r="E124" s="146">
        <v>2</v>
      </c>
      <c r="F124" s="146">
        <v>4</v>
      </c>
      <c r="G124" s="147">
        <v>1</v>
      </c>
      <c r="H124" s="20">
        <v>324</v>
      </c>
      <c r="I124" s="28" t="s">
        <v>37</v>
      </c>
      <c r="J124" s="119">
        <v>43</v>
      </c>
      <c r="K124" s="201">
        <v>10000</v>
      </c>
      <c r="L124" s="217">
        <v>10000</v>
      </c>
    </row>
    <row r="125" spans="2:12" x14ac:dyDescent="0.25">
      <c r="B125" s="7" t="s">
        <v>23</v>
      </c>
      <c r="C125" s="8" t="s">
        <v>92</v>
      </c>
      <c r="D125" s="14">
        <v>3</v>
      </c>
      <c r="E125" s="15">
        <v>2</v>
      </c>
      <c r="F125" s="15">
        <v>9</v>
      </c>
      <c r="G125" s="15">
        <v>1</v>
      </c>
      <c r="H125" s="26">
        <v>329</v>
      </c>
      <c r="I125" s="27" t="s">
        <v>63</v>
      </c>
      <c r="J125" s="119">
        <v>43</v>
      </c>
      <c r="K125" s="201">
        <v>800000</v>
      </c>
      <c r="L125" s="217">
        <v>800000</v>
      </c>
    </row>
    <row r="126" spans="2:12" ht="15" customHeight="1" x14ac:dyDescent="0.25">
      <c r="B126" s="16" t="s">
        <v>23</v>
      </c>
      <c r="C126" s="17" t="s">
        <v>92</v>
      </c>
      <c r="D126" s="18">
        <v>4</v>
      </c>
      <c r="E126" s="19">
        <v>2</v>
      </c>
      <c r="F126" s="19">
        <v>2</v>
      </c>
      <c r="G126" s="147">
        <v>1</v>
      </c>
      <c r="H126" s="190">
        <v>422</v>
      </c>
      <c r="I126" s="191" t="s">
        <v>95</v>
      </c>
      <c r="J126" s="119">
        <v>43</v>
      </c>
      <c r="K126" s="201">
        <v>10000</v>
      </c>
      <c r="L126" s="217">
        <v>10000</v>
      </c>
    </row>
    <row r="127" spans="2:12" ht="15" customHeight="1" x14ac:dyDescent="0.25">
      <c r="B127" s="16" t="s">
        <v>23</v>
      </c>
      <c r="C127" s="17" t="s">
        <v>92</v>
      </c>
      <c r="D127" s="18">
        <v>4</v>
      </c>
      <c r="E127" s="19">
        <v>2</v>
      </c>
      <c r="F127" s="19">
        <v>2</v>
      </c>
      <c r="G127" s="147">
        <v>7</v>
      </c>
      <c r="H127" s="190">
        <v>422</v>
      </c>
      <c r="I127" s="191" t="s">
        <v>96</v>
      </c>
      <c r="J127" s="119">
        <v>43</v>
      </c>
      <c r="K127" s="201">
        <v>10000</v>
      </c>
      <c r="L127" s="217">
        <v>10000</v>
      </c>
    </row>
    <row r="128" spans="2:12" x14ac:dyDescent="0.25">
      <c r="B128" s="214" t="s">
        <v>23</v>
      </c>
      <c r="C128" s="187" t="s">
        <v>92</v>
      </c>
      <c r="D128" s="187">
        <v>4</v>
      </c>
      <c r="E128" s="188">
        <v>2</v>
      </c>
      <c r="F128" s="188">
        <v>6</v>
      </c>
      <c r="G128" s="213">
        <v>2</v>
      </c>
      <c r="H128" s="213">
        <v>426</v>
      </c>
      <c r="I128" s="191" t="s">
        <v>79</v>
      </c>
      <c r="J128" s="119">
        <v>43</v>
      </c>
      <c r="K128" s="217">
        <v>1100000</v>
      </c>
      <c r="L128" s="217">
        <v>1100000</v>
      </c>
    </row>
    <row r="129" spans="2:12" x14ac:dyDescent="0.25">
      <c r="B129" s="2" t="s">
        <v>23</v>
      </c>
      <c r="C129" s="3" t="s">
        <v>97</v>
      </c>
      <c r="D129" s="3"/>
      <c r="E129" s="4"/>
      <c r="F129" s="4"/>
      <c r="G129" s="4"/>
      <c r="H129" s="5" t="s">
        <v>4</v>
      </c>
      <c r="I129" s="6" t="s">
        <v>98</v>
      </c>
      <c r="J129" s="118">
        <v>43</v>
      </c>
      <c r="K129" s="165">
        <f>SUM(K136:K139)</f>
        <v>565000</v>
      </c>
      <c r="L129" s="130">
        <f>SUM(L136:L139)</f>
        <v>565000</v>
      </c>
    </row>
    <row r="130" spans="2:12" ht="15" customHeight="1" x14ac:dyDescent="0.25">
      <c r="B130" s="351" t="s">
        <v>23</v>
      </c>
      <c r="C130" s="352" t="s">
        <v>97</v>
      </c>
      <c r="D130" s="359"/>
      <c r="E130" s="360"/>
      <c r="F130" s="360"/>
      <c r="G130" s="354"/>
      <c r="H130" s="361">
        <v>32</v>
      </c>
      <c r="I130" s="355" t="s">
        <v>27</v>
      </c>
      <c r="J130" s="118">
        <v>43</v>
      </c>
      <c r="K130" s="356">
        <f t="shared" ref="K130:L130" si="25">K132+K133+K134</f>
        <v>435000</v>
      </c>
      <c r="L130" s="357">
        <f t="shared" si="25"/>
        <v>435000</v>
      </c>
    </row>
    <row r="131" spans="2:12" ht="25.5" x14ac:dyDescent="0.25">
      <c r="B131" s="351" t="s">
        <v>23</v>
      </c>
      <c r="C131" s="352" t="s">
        <v>97</v>
      </c>
      <c r="D131" s="359"/>
      <c r="E131" s="360"/>
      <c r="F131" s="360"/>
      <c r="G131" s="354"/>
      <c r="H131" s="361">
        <v>41</v>
      </c>
      <c r="I131" s="355" t="s">
        <v>99</v>
      </c>
      <c r="J131" s="118">
        <v>43</v>
      </c>
      <c r="K131" s="356">
        <f t="shared" ref="K131:L131" si="26">K135</f>
        <v>130000</v>
      </c>
      <c r="L131" s="357">
        <f t="shared" si="26"/>
        <v>130000</v>
      </c>
    </row>
    <row r="132" spans="2:12" ht="15" customHeight="1" x14ac:dyDescent="0.25">
      <c r="B132" s="259" t="s">
        <v>23</v>
      </c>
      <c r="C132" s="260" t="s">
        <v>97</v>
      </c>
      <c r="D132" s="264"/>
      <c r="E132" s="265"/>
      <c r="F132" s="265"/>
      <c r="G132" s="255"/>
      <c r="H132" s="266">
        <v>321</v>
      </c>
      <c r="I132" s="256" t="s">
        <v>34</v>
      </c>
      <c r="J132" s="119">
        <v>43</v>
      </c>
      <c r="K132" s="257">
        <f>K136</f>
        <v>135000</v>
      </c>
      <c r="L132" s="258">
        <f>L136</f>
        <v>135000</v>
      </c>
    </row>
    <row r="133" spans="2:12" ht="15" customHeight="1" x14ac:dyDescent="0.25">
      <c r="B133" s="259" t="s">
        <v>23</v>
      </c>
      <c r="C133" s="260" t="s">
        <v>97</v>
      </c>
      <c r="D133" s="264"/>
      <c r="E133" s="265"/>
      <c r="F133" s="265"/>
      <c r="G133" s="266"/>
      <c r="H133" s="266">
        <v>323</v>
      </c>
      <c r="I133" s="256" t="s">
        <v>36</v>
      </c>
      <c r="J133" s="119">
        <v>43</v>
      </c>
      <c r="K133" s="257">
        <f>K137</f>
        <v>100000</v>
      </c>
      <c r="L133" s="258">
        <f>L137</f>
        <v>100000</v>
      </c>
    </row>
    <row r="134" spans="2:12" ht="15" customHeight="1" x14ac:dyDescent="0.25">
      <c r="B134" s="259" t="s">
        <v>23</v>
      </c>
      <c r="C134" s="260" t="s">
        <v>97</v>
      </c>
      <c r="D134" s="264"/>
      <c r="E134" s="265"/>
      <c r="F134" s="265"/>
      <c r="G134" s="266"/>
      <c r="H134" s="266">
        <v>324</v>
      </c>
      <c r="I134" s="256" t="s">
        <v>37</v>
      </c>
      <c r="J134" s="119">
        <v>43</v>
      </c>
      <c r="K134" s="257">
        <f t="shared" ref="K134:L135" si="27">K138</f>
        <v>200000</v>
      </c>
      <c r="L134" s="258">
        <f t="shared" si="27"/>
        <v>200000</v>
      </c>
    </row>
    <row r="135" spans="2:12" ht="18" customHeight="1" x14ac:dyDescent="0.25">
      <c r="B135" s="259" t="s">
        <v>23</v>
      </c>
      <c r="C135" s="260" t="s">
        <v>97</v>
      </c>
      <c r="D135" s="264"/>
      <c r="E135" s="265"/>
      <c r="F135" s="265"/>
      <c r="G135" s="266"/>
      <c r="H135" s="266">
        <v>412</v>
      </c>
      <c r="I135" s="256" t="s">
        <v>100</v>
      </c>
      <c r="J135" s="119">
        <v>43</v>
      </c>
      <c r="K135" s="257">
        <f t="shared" si="27"/>
        <v>130000</v>
      </c>
      <c r="L135" s="258">
        <f t="shared" si="27"/>
        <v>130000</v>
      </c>
    </row>
    <row r="136" spans="2:12" ht="15.75" customHeight="1" x14ac:dyDescent="0.25">
      <c r="B136" s="7" t="s">
        <v>23</v>
      </c>
      <c r="C136" s="8" t="s">
        <v>97</v>
      </c>
      <c r="D136" s="22">
        <v>3</v>
      </c>
      <c r="E136" s="23">
        <v>2</v>
      </c>
      <c r="F136" s="23">
        <v>1</v>
      </c>
      <c r="G136" s="23">
        <v>1</v>
      </c>
      <c r="H136" s="11">
        <v>321</v>
      </c>
      <c r="I136" s="12" t="s">
        <v>46</v>
      </c>
      <c r="J136" s="119">
        <v>43</v>
      </c>
      <c r="K136" s="201">
        <v>135000</v>
      </c>
      <c r="L136" s="217">
        <v>135000</v>
      </c>
    </row>
    <row r="137" spans="2:12" ht="15.75" customHeight="1" x14ac:dyDescent="0.25">
      <c r="B137" s="7" t="s">
        <v>23</v>
      </c>
      <c r="C137" s="8" t="s">
        <v>97</v>
      </c>
      <c r="D137" s="14">
        <v>3</v>
      </c>
      <c r="E137" s="15">
        <v>2</v>
      </c>
      <c r="F137" s="15">
        <v>3</v>
      </c>
      <c r="G137" s="15">
        <v>7</v>
      </c>
      <c r="H137" s="26">
        <v>323</v>
      </c>
      <c r="I137" s="24" t="s">
        <v>61</v>
      </c>
      <c r="J137" s="119">
        <v>43</v>
      </c>
      <c r="K137" s="201">
        <v>100000</v>
      </c>
      <c r="L137" s="217">
        <v>100000</v>
      </c>
    </row>
    <row r="138" spans="2:12" ht="15" customHeight="1" x14ac:dyDescent="0.25">
      <c r="B138" s="7" t="s">
        <v>23</v>
      </c>
      <c r="C138" s="8" t="s">
        <v>97</v>
      </c>
      <c r="D138" s="8">
        <v>3</v>
      </c>
      <c r="E138" s="1">
        <v>2</v>
      </c>
      <c r="F138" s="1">
        <v>4</v>
      </c>
      <c r="G138" s="25">
        <v>1</v>
      </c>
      <c r="H138" s="13">
        <v>324</v>
      </c>
      <c r="I138" s="335" t="s">
        <v>37</v>
      </c>
      <c r="J138" s="119">
        <v>43</v>
      </c>
      <c r="K138" s="201">
        <v>200000</v>
      </c>
      <c r="L138" s="217">
        <v>200000</v>
      </c>
    </row>
    <row r="139" spans="2:12" ht="15" customHeight="1" x14ac:dyDescent="0.25">
      <c r="B139" s="16" t="s">
        <v>23</v>
      </c>
      <c r="C139" s="17" t="s">
        <v>97</v>
      </c>
      <c r="D139" s="17">
        <v>4</v>
      </c>
      <c r="E139" s="146">
        <v>1</v>
      </c>
      <c r="F139" s="146">
        <v>2</v>
      </c>
      <c r="G139" s="147">
        <v>3</v>
      </c>
      <c r="H139" s="147">
        <v>412</v>
      </c>
      <c r="I139" s="194" t="s">
        <v>101</v>
      </c>
      <c r="J139" s="119">
        <v>43</v>
      </c>
      <c r="K139" s="201">
        <v>130000</v>
      </c>
      <c r="L139" s="217">
        <v>130000</v>
      </c>
    </row>
    <row r="140" spans="2:12" ht="25.5" x14ac:dyDescent="0.25">
      <c r="B140" s="2" t="s">
        <v>23</v>
      </c>
      <c r="C140" s="3" t="s">
        <v>102</v>
      </c>
      <c r="D140" s="3"/>
      <c r="E140" s="4"/>
      <c r="F140" s="4"/>
      <c r="G140" s="4"/>
      <c r="H140" s="5" t="s">
        <v>4</v>
      </c>
      <c r="I140" s="6" t="s">
        <v>103</v>
      </c>
      <c r="J140" s="111">
        <v>11</v>
      </c>
      <c r="K140" s="165">
        <f>SUM(K143)</f>
        <v>100000</v>
      </c>
      <c r="L140" s="130">
        <v>100000</v>
      </c>
    </row>
    <row r="141" spans="2:12" x14ac:dyDescent="0.25">
      <c r="B141" s="351" t="s">
        <v>23</v>
      </c>
      <c r="C141" s="352" t="s">
        <v>102</v>
      </c>
      <c r="D141" s="352"/>
      <c r="E141" s="353"/>
      <c r="F141" s="353"/>
      <c r="G141" s="354"/>
      <c r="H141" s="354">
        <v>32</v>
      </c>
      <c r="I141" s="355" t="s">
        <v>27</v>
      </c>
      <c r="J141" s="111">
        <v>11</v>
      </c>
      <c r="K141" s="356">
        <f t="shared" ref="K141" si="28">K142</f>
        <v>100000</v>
      </c>
      <c r="L141" s="357">
        <v>100000</v>
      </c>
    </row>
    <row r="142" spans="2:12" ht="15" customHeight="1" x14ac:dyDescent="0.25">
      <c r="B142" s="259" t="s">
        <v>23</v>
      </c>
      <c r="C142" s="260" t="s">
        <v>102</v>
      </c>
      <c r="D142" s="253"/>
      <c r="E142" s="254"/>
      <c r="F142" s="254"/>
      <c r="G142" s="255"/>
      <c r="H142" s="255">
        <v>323</v>
      </c>
      <c r="I142" s="256" t="s">
        <v>36</v>
      </c>
      <c r="J142" s="112">
        <v>11</v>
      </c>
      <c r="K142" s="257">
        <f>K143</f>
        <v>100000</v>
      </c>
      <c r="L142" s="258">
        <v>100000</v>
      </c>
    </row>
    <row r="143" spans="2:12" ht="15" customHeight="1" x14ac:dyDescent="0.25">
      <c r="B143" s="7" t="s">
        <v>23</v>
      </c>
      <c r="C143" s="8" t="s">
        <v>102</v>
      </c>
      <c r="D143" s="8">
        <v>3</v>
      </c>
      <c r="E143" s="1">
        <v>2</v>
      </c>
      <c r="F143" s="1">
        <v>3</v>
      </c>
      <c r="G143" s="1">
        <v>7</v>
      </c>
      <c r="H143" s="13">
        <v>323</v>
      </c>
      <c r="I143" s="24" t="s">
        <v>61</v>
      </c>
      <c r="J143" s="112">
        <v>11</v>
      </c>
      <c r="K143" s="201">
        <v>100000</v>
      </c>
      <c r="L143" s="217">
        <v>100000</v>
      </c>
    </row>
    <row r="144" spans="2:12" ht="25.5" x14ac:dyDescent="0.25">
      <c r="B144" s="2" t="s">
        <v>23</v>
      </c>
      <c r="C144" s="3" t="s">
        <v>104</v>
      </c>
      <c r="D144" s="3"/>
      <c r="E144" s="4"/>
      <c r="F144" s="4"/>
      <c r="G144" s="4"/>
      <c r="H144" s="5" t="s">
        <v>4</v>
      </c>
      <c r="I144" s="6" t="s">
        <v>105</v>
      </c>
      <c r="J144" s="111">
        <v>11</v>
      </c>
      <c r="K144" s="165">
        <f>SUM(K147)</f>
        <v>100000</v>
      </c>
      <c r="L144" s="130">
        <v>100000</v>
      </c>
    </row>
    <row r="145" spans="2:12" ht="25.5" x14ac:dyDescent="0.25">
      <c r="B145" s="351" t="s">
        <v>23</v>
      </c>
      <c r="C145" s="352" t="s">
        <v>104</v>
      </c>
      <c r="D145" s="352"/>
      <c r="E145" s="353"/>
      <c r="F145" s="353"/>
      <c r="G145" s="354"/>
      <c r="H145" s="363">
        <v>36</v>
      </c>
      <c r="I145" s="362" t="s">
        <v>82</v>
      </c>
      <c r="J145" s="111">
        <v>11</v>
      </c>
      <c r="K145" s="356">
        <f t="shared" ref="K145" si="29">K146</f>
        <v>100000</v>
      </c>
      <c r="L145" s="357">
        <v>100000</v>
      </c>
    </row>
    <row r="146" spans="2:12" ht="15" customHeight="1" x14ac:dyDescent="0.25">
      <c r="B146" s="259" t="s">
        <v>23</v>
      </c>
      <c r="C146" s="260" t="s">
        <v>104</v>
      </c>
      <c r="D146" s="253"/>
      <c r="E146" s="254"/>
      <c r="F146" s="254"/>
      <c r="G146" s="255"/>
      <c r="H146" s="270">
        <v>363</v>
      </c>
      <c r="I146" s="256" t="s">
        <v>83</v>
      </c>
      <c r="J146" s="112">
        <v>11</v>
      </c>
      <c r="K146" s="257">
        <f>K147</f>
        <v>100000</v>
      </c>
      <c r="L146" s="258">
        <v>100000</v>
      </c>
    </row>
    <row r="147" spans="2:12" x14ac:dyDescent="0.25">
      <c r="B147" s="7" t="s">
        <v>23</v>
      </c>
      <c r="C147" s="8" t="s">
        <v>104</v>
      </c>
      <c r="D147" s="14">
        <v>3</v>
      </c>
      <c r="E147" s="15">
        <v>6</v>
      </c>
      <c r="F147" s="15">
        <v>3</v>
      </c>
      <c r="G147" s="15">
        <v>1</v>
      </c>
      <c r="H147" s="26">
        <v>363</v>
      </c>
      <c r="I147" s="12" t="s">
        <v>87</v>
      </c>
      <c r="J147" s="112">
        <v>11</v>
      </c>
      <c r="K147" s="201">
        <v>100000</v>
      </c>
      <c r="L147" s="217">
        <v>100000</v>
      </c>
    </row>
    <row r="148" spans="2:12" ht="25.5" x14ac:dyDescent="0.25">
      <c r="B148" s="65" t="s">
        <v>23</v>
      </c>
      <c r="C148" s="58" t="s">
        <v>106</v>
      </c>
      <c r="D148" s="58"/>
      <c r="E148" s="59"/>
      <c r="F148" s="59"/>
      <c r="G148" s="59"/>
      <c r="H148" s="60" t="s">
        <v>4</v>
      </c>
      <c r="I148" s="61" t="s">
        <v>107</v>
      </c>
      <c r="J148" s="121">
        <v>11</v>
      </c>
      <c r="K148" s="165">
        <f>SUM(K154:K159)</f>
        <v>2325000</v>
      </c>
      <c r="L148" s="130">
        <f>SUM(L154:L159)</f>
        <v>7351000</v>
      </c>
    </row>
    <row r="149" spans="2:12" x14ac:dyDescent="0.25">
      <c r="B149" s="364" t="s">
        <v>23</v>
      </c>
      <c r="C149" s="365" t="s">
        <v>106</v>
      </c>
      <c r="D149" s="366"/>
      <c r="E149" s="367"/>
      <c r="F149" s="368"/>
      <c r="G149" s="369"/>
      <c r="H149" s="370">
        <v>32</v>
      </c>
      <c r="I149" s="355" t="s">
        <v>27</v>
      </c>
      <c r="J149" s="121">
        <v>11</v>
      </c>
      <c r="K149" s="356">
        <f>K151+K152</f>
        <v>325000</v>
      </c>
      <c r="L149" s="357">
        <f>L151+L152</f>
        <v>351000</v>
      </c>
    </row>
    <row r="150" spans="2:12" ht="25.5" x14ac:dyDescent="0.25">
      <c r="B150" s="364" t="s">
        <v>23</v>
      </c>
      <c r="C150" s="365" t="s">
        <v>106</v>
      </c>
      <c r="D150" s="366"/>
      <c r="E150" s="367"/>
      <c r="F150" s="367"/>
      <c r="G150" s="369"/>
      <c r="H150" s="370">
        <v>36</v>
      </c>
      <c r="I150" s="362" t="s">
        <v>82</v>
      </c>
      <c r="J150" s="121">
        <v>11</v>
      </c>
      <c r="K150" s="356">
        <f t="shared" ref="K150" si="30">K153</f>
        <v>2000000</v>
      </c>
      <c r="L150" s="357">
        <f t="shared" ref="L150" si="31">L153</f>
        <v>7000000</v>
      </c>
    </row>
    <row r="151" spans="2:12" ht="15" customHeight="1" x14ac:dyDescent="0.25">
      <c r="B151" s="271" t="s">
        <v>23</v>
      </c>
      <c r="C151" s="272" t="s">
        <v>106</v>
      </c>
      <c r="D151" s="273"/>
      <c r="E151" s="274"/>
      <c r="F151" s="274"/>
      <c r="G151" s="276"/>
      <c r="H151" s="276">
        <v>323</v>
      </c>
      <c r="I151" s="277" t="s">
        <v>36</v>
      </c>
      <c r="J151" s="120">
        <v>11</v>
      </c>
      <c r="K151" s="257">
        <f>K154+K155</f>
        <v>270000</v>
      </c>
      <c r="L151" s="258">
        <f>L154+L155</f>
        <v>270000</v>
      </c>
    </row>
    <row r="152" spans="2:12" ht="15" customHeight="1" x14ac:dyDescent="0.25">
      <c r="B152" s="271" t="s">
        <v>23</v>
      </c>
      <c r="C152" s="272" t="s">
        <v>106</v>
      </c>
      <c r="D152" s="273"/>
      <c r="E152" s="274"/>
      <c r="F152" s="274"/>
      <c r="G152" s="276"/>
      <c r="H152" s="276">
        <v>329</v>
      </c>
      <c r="I152" s="277" t="s">
        <v>38</v>
      </c>
      <c r="J152" s="120">
        <v>11</v>
      </c>
      <c r="K152" s="257">
        <f>K156+K157+K158</f>
        <v>55000</v>
      </c>
      <c r="L152" s="258">
        <f>L156+L157+L158</f>
        <v>81000</v>
      </c>
    </row>
    <row r="153" spans="2:12" ht="15" customHeight="1" x14ac:dyDescent="0.25">
      <c r="B153" s="271" t="s">
        <v>23</v>
      </c>
      <c r="C153" s="272" t="s">
        <v>106</v>
      </c>
      <c r="D153" s="273"/>
      <c r="E153" s="274"/>
      <c r="F153" s="274"/>
      <c r="G153" s="276"/>
      <c r="H153" s="276">
        <v>363</v>
      </c>
      <c r="I153" s="277" t="s">
        <v>83</v>
      </c>
      <c r="J153" s="120">
        <v>11</v>
      </c>
      <c r="K153" s="257">
        <f t="shared" ref="K153" si="32">K159</f>
        <v>2000000</v>
      </c>
      <c r="L153" s="258">
        <f t="shared" ref="L153" si="33">L159</f>
        <v>7000000</v>
      </c>
    </row>
    <row r="154" spans="2:12" ht="17.25" customHeight="1" x14ac:dyDescent="0.25">
      <c r="B154" s="66" t="s">
        <v>23</v>
      </c>
      <c r="C154" s="62" t="s">
        <v>106</v>
      </c>
      <c r="D154" s="63">
        <v>3</v>
      </c>
      <c r="E154" s="64">
        <v>2</v>
      </c>
      <c r="F154" s="64">
        <v>3</v>
      </c>
      <c r="G154" s="148">
        <v>7</v>
      </c>
      <c r="H154" s="57">
        <v>323</v>
      </c>
      <c r="I154" s="24" t="s">
        <v>61</v>
      </c>
      <c r="J154" s="112">
        <v>11</v>
      </c>
      <c r="K154" s="201">
        <v>250000</v>
      </c>
      <c r="L154" s="217">
        <v>250000</v>
      </c>
    </row>
    <row r="155" spans="2:12" ht="15" customHeight="1" x14ac:dyDescent="0.25">
      <c r="B155" s="66" t="s">
        <v>23</v>
      </c>
      <c r="C155" s="62" t="s">
        <v>106</v>
      </c>
      <c r="D155" s="197">
        <v>3</v>
      </c>
      <c r="E155" s="198">
        <v>2</v>
      </c>
      <c r="F155" s="198">
        <v>3</v>
      </c>
      <c r="G155" s="199">
        <v>9</v>
      </c>
      <c r="H155" s="181">
        <v>323</v>
      </c>
      <c r="I155" s="52" t="s">
        <v>86</v>
      </c>
      <c r="J155" s="113">
        <v>11</v>
      </c>
      <c r="K155" s="201">
        <v>20000</v>
      </c>
      <c r="L155" s="217">
        <v>20000</v>
      </c>
    </row>
    <row r="156" spans="2:12" ht="16.5" customHeight="1" x14ac:dyDescent="0.25">
      <c r="B156" s="66" t="s">
        <v>23</v>
      </c>
      <c r="C156" s="62" t="s">
        <v>106</v>
      </c>
      <c r="D156" s="8">
        <v>3</v>
      </c>
      <c r="E156" s="1">
        <v>2</v>
      </c>
      <c r="F156" s="1">
        <v>9</v>
      </c>
      <c r="G156" s="1">
        <v>1</v>
      </c>
      <c r="H156" s="13">
        <v>329</v>
      </c>
      <c r="I156" s="27" t="s">
        <v>63</v>
      </c>
      <c r="J156" s="112">
        <v>11</v>
      </c>
      <c r="K156" s="201">
        <v>30000</v>
      </c>
      <c r="L156" s="217">
        <v>30000</v>
      </c>
    </row>
    <row r="157" spans="2:12" ht="15" customHeight="1" x14ac:dyDescent="0.25">
      <c r="B157" s="192" t="s">
        <v>23</v>
      </c>
      <c r="C157" s="193" t="s">
        <v>106</v>
      </c>
      <c r="D157" s="155">
        <v>3</v>
      </c>
      <c r="E157" s="180">
        <v>2</v>
      </c>
      <c r="F157" s="180">
        <v>9</v>
      </c>
      <c r="G157" s="180">
        <v>4</v>
      </c>
      <c r="H157" s="176">
        <v>329</v>
      </c>
      <c r="I157" s="21" t="s">
        <v>66</v>
      </c>
      <c r="J157" s="113">
        <v>11</v>
      </c>
      <c r="K157" s="201">
        <v>20000</v>
      </c>
      <c r="L157" s="217">
        <v>46000</v>
      </c>
    </row>
    <row r="158" spans="2:12" ht="15" customHeight="1" x14ac:dyDescent="0.25">
      <c r="B158" s="66" t="s">
        <v>23</v>
      </c>
      <c r="C158" s="62" t="s">
        <v>106</v>
      </c>
      <c r="D158" s="22">
        <v>3</v>
      </c>
      <c r="E158" s="23">
        <v>2</v>
      </c>
      <c r="F158" s="23">
        <v>9</v>
      </c>
      <c r="G158" s="23">
        <v>9</v>
      </c>
      <c r="H158" s="11">
        <v>329</v>
      </c>
      <c r="I158" s="12" t="s">
        <v>38</v>
      </c>
      <c r="J158" s="112">
        <v>11</v>
      </c>
      <c r="K158" s="201">
        <v>5000</v>
      </c>
      <c r="L158" s="217">
        <v>5000</v>
      </c>
    </row>
    <row r="159" spans="2:12" ht="15" customHeight="1" x14ac:dyDescent="0.25">
      <c r="B159" s="66" t="s">
        <v>23</v>
      </c>
      <c r="C159" s="151" t="s">
        <v>106</v>
      </c>
      <c r="D159" s="22">
        <v>3</v>
      </c>
      <c r="E159" s="23">
        <v>6</v>
      </c>
      <c r="F159" s="23">
        <v>3</v>
      </c>
      <c r="G159" s="25">
        <v>2</v>
      </c>
      <c r="H159" s="57">
        <v>363</v>
      </c>
      <c r="I159" s="175" t="s">
        <v>108</v>
      </c>
      <c r="J159" s="112">
        <v>11</v>
      </c>
      <c r="K159" s="201">
        <f>12000000-5000000-5000000</f>
        <v>2000000</v>
      </c>
      <c r="L159" s="217">
        <v>7000000</v>
      </c>
    </row>
    <row r="160" spans="2:12" ht="25.5" x14ac:dyDescent="0.25">
      <c r="B160" s="65" t="s">
        <v>23</v>
      </c>
      <c r="C160" s="58" t="s">
        <v>106</v>
      </c>
      <c r="D160" s="58"/>
      <c r="E160" s="59"/>
      <c r="F160" s="59"/>
      <c r="G160" s="59"/>
      <c r="H160" s="60" t="s">
        <v>4</v>
      </c>
      <c r="I160" s="61" t="s">
        <v>107</v>
      </c>
      <c r="J160" s="225">
        <v>43</v>
      </c>
      <c r="K160" s="165">
        <f>SUM(K163:K163)</f>
        <v>4000000</v>
      </c>
      <c r="L160" s="130">
        <f>SUM(L163:L163)</f>
        <v>20000000</v>
      </c>
    </row>
    <row r="161" spans="2:12" ht="25.5" x14ac:dyDescent="0.25">
      <c r="B161" s="364" t="s">
        <v>23</v>
      </c>
      <c r="C161" s="365" t="s">
        <v>106</v>
      </c>
      <c r="D161" s="366"/>
      <c r="E161" s="367"/>
      <c r="F161" s="367"/>
      <c r="G161" s="369"/>
      <c r="H161" s="370">
        <v>36</v>
      </c>
      <c r="I161" s="362" t="s">
        <v>82</v>
      </c>
      <c r="J161" s="225">
        <v>43</v>
      </c>
      <c r="K161" s="356">
        <f t="shared" ref="K161:L161" si="34">K162</f>
        <v>4000000</v>
      </c>
      <c r="L161" s="357">
        <f t="shared" si="34"/>
        <v>20000000</v>
      </c>
    </row>
    <row r="162" spans="2:12" ht="15" customHeight="1" x14ac:dyDescent="0.25">
      <c r="B162" s="271" t="s">
        <v>23</v>
      </c>
      <c r="C162" s="278" t="s">
        <v>106</v>
      </c>
      <c r="D162" s="273"/>
      <c r="E162" s="274"/>
      <c r="F162" s="274"/>
      <c r="G162" s="275"/>
      <c r="H162" s="276">
        <v>363</v>
      </c>
      <c r="I162" s="277" t="s">
        <v>83</v>
      </c>
      <c r="J162" s="119">
        <v>43</v>
      </c>
      <c r="K162" s="257">
        <f>K163</f>
        <v>4000000</v>
      </c>
      <c r="L162" s="258">
        <f>L163</f>
        <v>20000000</v>
      </c>
    </row>
    <row r="163" spans="2:12" x14ac:dyDescent="0.25">
      <c r="B163" s="192" t="s">
        <v>23</v>
      </c>
      <c r="C163" s="229" t="s">
        <v>106</v>
      </c>
      <c r="D163" s="155">
        <v>3</v>
      </c>
      <c r="E163" s="180">
        <v>6</v>
      </c>
      <c r="F163" s="180">
        <v>3</v>
      </c>
      <c r="G163" s="147">
        <v>2</v>
      </c>
      <c r="H163" s="181">
        <v>363</v>
      </c>
      <c r="I163" s="230" t="s">
        <v>108</v>
      </c>
      <c r="J163" s="119">
        <v>43</v>
      </c>
      <c r="K163" s="201">
        <v>4000000</v>
      </c>
      <c r="L163" s="217">
        <v>20000000</v>
      </c>
    </row>
    <row r="164" spans="2:12" ht="25.5" x14ac:dyDescent="0.25">
      <c r="B164" s="149" t="s">
        <v>23</v>
      </c>
      <c r="C164" s="150" t="s">
        <v>110</v>
      </c>
      <c r="D164" s="143"/>
      <c r="E164" s="144"/>
      <c r="F164" s="144"/>
      <c r="G164" s="144"/>
      <c r="H164" s="145" t="s">
        <v>4</v>
      </c>
      <c r="I164" s="185" t="s">
        <v>111</v>
      </c>
      <c r="J164" s="78">
        <v>12</v>
      </c>
      <c r="K164" s="237">
        <f>SUM(K167)</f>
        <v>260000</v>
      </c>
      <c r="L164" s="439">
        <f>SUM(L167)</f>
        <v>260000</v>
      </c>
    </row>
    <row r="165" spans="2:12" x14ac:dyDescent="0.25">
      <c r="B165" s="371" t="s">
        <v>23</v>
      </c>
      <c r="C165" s="372" t="s">
        <v>110</v>
      </c>
      <c r="D165" s="373"/>
      <c r="E165" s="374"/>
      <c r="F165" s="374"/>
      <c r="G165" s="374"/>
      <c r="H165" s="375">
        <v>32</v>
      </c>
      <c r="I165" s="355" t="s">
        <v>27</v>
      </c>
      <c r="J165" s="78">
        <v>12</v>
      </c>
      <c r="K165" s="376">
        <f t="shared" ref="K165:L165" si="35">K166</f>
        <v>260000</v>
      </c>
      <c r="L165" s="440">
        <f t="shared" si="35"/>
        <v>260000</v>
      </c>
    </row>
    <row r="166" spans="2:12" ht="15" customHeight="1" x14ac:dyDescent="0.25">
      <c r="B166" s="259" t="s">
        <v>23</v>
      </c>
      <c r="C166" s="348" t="s">
        <v>110</v>
      </c>
      <c r="D166" s="260"/>
      <c r="E166" s="279"/>
      <c r="F166" s="279"/>
      <c r="G166" s="279"/>
      <c r="H166" s="280">
        <v>329</v>
      </c>
      <c r="I166" s="281" t="s">
        <v>38</v>
      </c>
      <c r="J166" s="223">
        <v>12</v>
      </c>
      <c r="K166" s="282">
        <f>K167</f>
        <v>260000</v>
      </c>
      <c r="L166" s="441">
        <f>L167</f>
        <v>260000</v>
      </c>
    </row>
    <row r="167" spans="2:12" ht="15" customHeight="1" x14ac:dyDescent="0.25">
      <c r="B167" s="7" t="s">
        <v>23</v>
      </c>
      <c r="C167" s="13" t="s">
        <v>110</v>
      </c>
      <c r="D167" s="17">
        <v>3</v>
      </c>
      <c r="E167" s="146">
        <v>2</v>
      </c>
      <c r="F167" s="146">
        <v>9</v>
      </c>
      <c r="G167" s="146">
        <v>4</v>
      </c>
      <c r="H167" s="20">
        <v>329</v>
      </c>
      <c r="I167" s="28" t="s">
        <v>66</v>
      </c>
      <c r="J167" s="223">
        <v>12</v>
      </c>
      <c r="K167" s="201">
        <v>260000</v>
      </c>
      <c r="L167" s="217">
        <v>260000</v>
      </c>
    </row>
    <row r="168" spans="2:12" ht="25.5" x14ac:dyDescent="0.25">
      <c r="B168" s="2" t="s">
        <v>23</v>
      </c>
      <c r="C168" s="3" t="s">
        <v>112</v>
      </c>
      <c r="D168" s="3"/>
      <c r="E168" s="4"/>
      <c r="F168" s="4"/>
      <c r="G168" s="4"/>
      <c r="H168" s="5" t="s">
        <v>4</v>
      </c>
      <c r="I168" s="6" t="s">
        <v>113</v>
      </c>
      <c r="J168" s="118">
        <v>43</v>
      </c>
      <c r="K168" s="236">
        <f>SUM(K189:K222)</f>
        <v>2000000</v>
      </c>
      <c r="L168" s="349">
        <f>SUM(L189:L222)</f>
        <v>500000</v>
      </c>
    </row>
    <row r="169" spans="2:12" x14ac:dyDescent="0.25">
      <c r="B169" s="351" t="s">
        <v>23</v>
      </c>
      <c r="C169" s="352" t="s">
        <v>112</v>
      </c>
      <c r="D169" s="352"/>
      <c r="E169" s="353"/>
      <c r="F169" s="353"/>
      <c r="G169" s="354"/>
      <c r="H169" s="354">
        <v>31</v>
      </c>
      <c r="I169" s="355" t="s">
        <v>26</v>
      </c>
      <c r="J169" s="118">
        <v>43</v>
      </c>
      <c r="K169" s="377">
        <f t="shared" ref="K169:L169" si="36">K175+K176+K177</f>
        <v>190000</v>
      </c>
      <c r="L169" s="378">
        <f t="shared" si="36"/>
        <v>0</v>
      </c>
    </row>
    <row r="170" spans="2:12" x14ac:dyDescent="0.25">
      <c r="B170" s="351" t="s">
        <v>23</v>
      </c>
      <c r="C170" s="352" t="s">
        <v>112</v>
      </c>
      <c r="D170" s="352"/>
      <c r="E170" s="353"/>
      <c r="F170" s="353"/>
      <c r="G170" s="354"/>
      <c r="H170" s="354">
        <v>32</v>
      </c>
      <c r="I170" s="355" t="s">
        <v>27</v>
      </c>
      <c r="J170" s="118">
        <v>43</v>
      </c>
      <c r="K170" s="377">
        <f t="shared" ref="K170:L170" si="37">K178+K179+K180+K181+K182</f>
        <v>1440000</v>
      </c>
      <c r="L170" s="378">
        <f t="shared" si="37"/>
        <v>500000</v>
      </c>
    </row>
    <row r="171" spans="2:12" ht="25.5" x14ac:dyDescent="0.25">
      <c r="B171" s="351" t="s">
        <v>23</v>
      </c>
      <c r="C171" s="352" t="s">
        <v>112</v>
      </c>
      <c r="D171" s="352"/>
      <c r="E171" s="353"/>
      <c r="F171" s="353"/>
      <c r="G171" s="354"/>
      <c r="H171" s="354">
        <v>36</v>
      </c>
      <c r="I171" s="362" t="s">
        <v>82</v>
      </c>
      <c r="J171" s="118">
        <v>43</v>
      </c>
      <c r="K171" s="377">
        <f>K183+K184</f>
        <v>180000</v>
      </c>
      <c r="L171" s="378">
        <f>L183+L184</f>
        <v>0</v>
      </c>
    </row>
    <row r="172" spans="2:12" x14ac:dyDescent="0.25">
      <c r="B172" s="351" t="s">
        <v>23</v>
      </c>
      <c r="C172" s="352" t="s">
        <v>112</v>
      </c>
      <c r="D172" s="352"/>
      <c r="E172" s="353"/>
      <c r="F172" s="353"/>
      <c r="G172" s="354"/>
      <c r="H172" s="354">
        <v>38</v>
      </c>
      <c r="I172" s="355" t="s">
        <v>29</v>
      </c>
      <c r="J172" s="118">
        <v>43</v>
      </c>
      <c r="K172" s="377">
        <f t="shared" ref="K172:L172" si="38">K185</f>
        <v>50000</v>
      </c>
      <c r="L172" s="378">
        <f t="shared" si="38"/>
        <v>0</v>
      </c>
    </row>
    <row r="173" spans="2:12" ht="25.5" x14ac:dyDescent="0.25">
      <c r="B173" s="351" t="s">
        <v>23</v>
      </c>
      <c r="C173" s="352" t="s">
        <v>112</v>
      </c>
      <c r="D173" s="352"/>
      <c r="E173" s="353"/>
      <c r="F173" s="353"/>
      <c r="G173" s="354"/>
      <c r="H173" s="354">
        <v>41</v>
      </c>
      <c r="I173" s="355" t="s">
        <v>99</v>
      </c>
      <c r="J173" s="118">
        <v>43</v>
      </c>
      <c r="K173" s="377">
        <f t="shared" ref="K173:L173" si="39">K186</f>
        <v>50000</v>
      </c>
      <c r="L173" s="378">
        <f t="shared" si="39"/>
        <v>0</v>
      </c>
    </row>
    <row r="174" spans="2:12" ht="25.5" x14ac:dyDescent="0.25">
      <c r="B174" s="351" t="s">
        <v>23</v>
      </c>
      <c r="C174" s="352" t="s">
        <v>112</v>
      </c>
      <c r="D174" s="352"/>
      <c r="E174" s="353"/>
      <c r="F174" s="353"/>
      <c r="G174" s="354"/>
      <c r="H174" s="354">
        <v>42</v>
      </c>
      <c r="I174" s="355" t="s">
        <v>30</v>
      </c>
      <c r="J174" s="118">
        <v>43</v>
      </c>
      <c r="K174" s="377">
        <f t="shared" ref="K174:L174" si="40">K187+K188</f>
        <v>90000</v>
      </c>
      <c r="L174" s="378">
        <f t="shared" si="40"/>
        <v>0</v>
      </c>
    </row>
    <row r="175" spans="2:12" ht="15" customHeight="1" x14ac:dyDescent="0.25">
      <c r="B175" s="251" t="s">
        <v>23</v>
      </c>
      <c r="C175" s="252" t="s">
        <v>112</v>
      </c>
      <c r="D175" s="253"/>
      <c r="E175" s="254"/>
      <c r="F175" s="254"/>
      <c r="G175" s="255"/>
      <c r="H175" s="255">
        <v>311</v>
      </c>
      <c r="I175" s="256" t="s">
        <v>31</v>
      </c>
      <c r="J175" s="186">
        <v>43</v>
      </c>
      <c r="K175" s="267">
        <f>K189+K190</f>
        <v>100000</v>
      </c>
      <c r="L175" s="268">
        <f>L189+L190</f>
        <v>0</v>
      </c>
    </row>
    <row r="176" spans="2:12" ht="14.25" customHeight="1" x14ac:dyDescent="0.25">
      <c r="B176" s="251" t="s">
        <v>23</v>
      </c>
      <c r="C176" s="252" t="s">
        <v>112</v>
      </c>
      <c r="D176" s="253"/>
      <c r="E176" s="254"/>
      <c r="F176" s="254"/>
      <c r="G176" s="255"/>
      <c r="H176" s="255">
        <v>312</v>
      </c>
      <c r="I176" s="256" t="s">
        <v>32</v>
      </c>
      <c r="J176" s="186">
        <v>43</v>
      </c>
      <c r="K176" s="267">
        <f>K191</f>
        <v>20000</v>
      </c>
      <c r="L176" s="268">
        <f>L191</f>
        <v>0</v>
      </c>
    </row>
    <row r="177" spans="2:12" ht="15" customHeight="1" x14ac:dyDescent="0.25">
      <c r="B177" s="251" t="s">
        <v>23</v>
      </c>
      <c r="C177" s="252" t="s">
        <v>112</v>
      </c>
      <c r="D177" s="253"/>
      <c r="E177" s="254"/>
      <c r="F177" s="254"/>
      <c r="G177" s="255"/>
      <c r="H177" s="255">
        <v>313</v>
      </c>
      <c r="I177" s="256" t="s">
        <v>33</v>
      </c>
      <c r="J177" s="186">
        <v>43</v>
      </c>
      <c r="K177" s="267">
        <f>K192+K193</f>
        <v>70000</v>
      </c>
      <c r="L177" s="268">
        <f>L192+L193</f>
        <v>0</v>
      </c>
    </row>
    <row r="178" spans="2:12" ht="15" customHeight="1" x14ac:dyDescent="0.25">
      <c r="B178" s="251" t="s">
        <v>23</v>
      </c>
      <c r="C178" s="252" t="s">
        <v>112</v>
      </c>
      <c r="D178" s="253"/>
      <c r="E178" s="254"/>
      <c r="F178" s="254"/>
      <c r="G178" s="255"/>
      <c r="H178" s="255">
        <v>321</v>
      </c>
      <c r="I178" s="256" t="s">
        <v>34</v>
      </c>
      <c r="J178" s="186">
        <v>43</v>
      </c>
      <c r="K178" s="267">
        <f>K194+K195</f>
        <v>60000</v>
      </c>
      <c r="L178" s="268">
        <f>L194+L195</f>
        <v>0</v>
      </c>
    </row>
    <row r="179" spans="2:12" ht="15" customHeight="1" x14ac:dyDescent="0.25">
      <c r="B179" s="251" t="s">
        <v>23</v>
      </c>
      <c r="C179" s="252" t="s">
        <v>112</v>
      </c>
      <c r="D179" s="253"/>
      <c r="E179" s="254"/>
      <c r="F179" s="254"/>
      <c r="G179" s="255"/>
      <c r="H179" s="255">
        <v>322</v>
      </c>
      <c r="I179" s="256" t="s">
        <v>35</v>
      </c>
      <c r="J179" s="186">
        <v>43</v>
      </c>
      <c r="K179" s="267">
        <f>K196+K197+K198+K199</f>
        <v>130000</v>
      </c>
      <c r="L179" s="268">
        <f>L196+L197+L198+L199</f>
        <v>0</v>
      </c>
    </row>
    <row r="180" spans="2:12" ht="15" customHeight="1" x14ac:dyDescent="0.25">
      <c r="B180" s="251" t="s">
        <v>23</v>
      </c>
      <c r="C180" s="252" t="s">
        <v>112</v>
      </c>
      <c r="D180" s="253"/>
      <c r="E180" s="254"/>
      <c r="F180" s="254"/>
      <c r="G180" s="255"/>
      <c r="H180" s="255">
        <v>323</v>
      </c>
      <c r="I180" s="256" t="s">
        <v>36</v>
      </c>
      <c r="J180" s="186">
        <v>43</v>
      </c>
      <c r="K180" s="267">
        <f>K200+K201+K202+K203+K204+K205+K206+K207+K208</f>
        <v>860000</v>
      </c>
      <c r="L180" s="268">
        <f>L200+L201+L202+L203+L204+L205+L206+L207+L208</f>
        <v>200000</v>
      </c>
    </row>
    <row r="181" spans="2:12" ht="15" customHeight="1" x14ac:dyDescent="0.25">
      <c r="B181" s="251" t="s">
        <v>23</v>
      </c>
      <c r="C181" s="252" t="s">
        <v>112</v>
      </c>
      <c r="D181" s="253"/>
      <c r="E181" s="254"/>
      <c r="F181" s="254"/>
      <c r="G181" s="255"/>
      <c r="H181" s="255">
        <v>324</v>
      </c>
      <c r="I181" s="256" t="s">
        <v>37</v>
      </c>
      <c r="J181" s="186">
        <v>43</v>
      </c>
      <c r="K181" s="267">
        <f>K209</f>
        <v>50000</v>
      </c>
      <c r="L181" s="268">
        <f>L209</f>
        <v>0</v>
      </c>
    </row>
    <row r="182" spans="2:12" ht="15" customHeight="1" x14ac:dyDescent="0.25">
      <c r="B182" s="251" t="s">
        <v>23</v>
      </c>
      <c r="C182" s="252" t="s">
        <v>112</v>
      </c>
      <c r="D182" s="253"/>
      <c r="E182" s="254"/>
      <c r="F182" s="254"/>
      <c r="G182" s="255"/>
      <c r="H182" s="255">
        <v>329</v>
      </c>
      <c r="I182" s="256" t="s">
        <v>38</v>
      </c>
      <c r="J182" s="186">
        <v>43</v>
      </c>
      <c r="K182" s="267">
        <f>K210+K212+K211+K213</f>
        <v>340000</v>
      </c>
      <c r="L182" s="268">
        <f>L210+L212+L211+L213</f>
        <v>300000</v>
      </c>
    </row>
    <row r="183" spans="2:12" x14ac:dyDescent="0.25">
      <c r="B183" s="251" t="s">
        <v>23</v>
      </c>
      <c r="C183" s="252" t="s">
        <v>112</v>
      </c>
      <c r="D183" s="253"/>
      <c r="E183" s="254"/>
      <c r="F183" s="254"/>
      <c r="G183" s="255"/>
      <c r="H183" s="255">
        <v>363</v>
      </c>
      <c r="I183" s="256" t="s">
        <v>83</v>
      </c>
      <c r="J183" s="186">
        <v>43</v>
      </c>
      <c r="K183" s="267">
        <f>K214+K215</f>
        <v>120000</v>
      </c>
      <c r="L183" s="268">
        <f>L214+L215</f>
        <v>0</v>
      </c>
    </row>
    <row r="184" spans="2:12" ht="25.5" x14ac:dyDescent="0.25">
      <c r="B184" s="251" t="s">
        <v>23</v>
      </c>
      <c r="C184" s="252" t="s">
        <v>112</v>
      </c>
      <c r="D184" s="253"/>
      <c r="E184" s="254"/>
      <c r="F184" s="254"/>
      <c r="G184" s="255"/>
      <c r="H184" s="255">
        <v>366</v>
      </c>
      <c r="I184" s="256" t="s">
        <v>115</v>
      </c>
      <c r="J184" s="186">
        <v>43</v>
      </c>
      <c r="K184" s="267">
        <f t="shared" ref="K184:L184" si="41">K216</f>
        <v>60000</v>
      </c>
      <c r="L184" s="268">
        <f t="shared" si="41"/>
        <v>0</v>
      </c>
    </row>
    <row r="185" spans="2:12" ht="15" customHeight="1" x14ac:dyDescent="0.25">
      <c r="B185" s="251" t="s">
        <v>23</v>
      </c>
      <c r="C185" s="252" t="s">
        <v>112</v>
      </c>
      <c r="D185" s="253"/>
      <c r="E185" s="254"/>
      <c r="F185" s="254"/>
      <c r="G185" s="255"/>
      <c r="H185" s="255">
        <v>383</v>
      </c>
      <c r="I185" s="256" t="s">
        <v>40</v>
      </c>
      <c r="J185" s="186">
        <v>43</v>
      </c>
      <c r="K185" s="267">
        <f>K217</f>
        <v>50000</v>
      </c>
      <c r="L185" s="268">
        <f>L217</f>
        <v>0</v>
      </c>
    </row>
    <row r="186" spans="2:12" ht="15" customHeight="1" x14ac:dyDescent="0.25">
      <c r="B186" s="251" t="s">
        <v>23</v>
      </c>
      <c r="C186" s="252" t="s">
        <v>112</v>
      </c>
      <c r="D186" s="253"/>
      <c r="E186" s="254"/>
      <c r="F186" s="254"/>
      <c r="G186" s="255"/>
      <c r="H186" s="255">
        <v>412</v>
      </c>
      <c r="I186" s="256" t="s">
        <v>100</v>
      </c>
      <c r="J186" s="186">
        <v>43</v>
      </c>
      <c r="K186" s="267">
        <f>K218</f>
        <v>50000</v>
      </c>
      <c r="L186" s="268">
        <f>L218</f>
        <v>0</v>
      </c>
    </row>
    <row r="187" spans="2:12" ht="15" customHeight="1" x14ac:dyDescent="0.25">
      <c r="B187" s="251" t="s">
        <v>23</v>
      </c>
      <c r="C187" s="252" t="s">
        <v>112</v>
      </c>
      <c r="D187" s="253"/>
      <c r="E187" s="254"/>
      <c r="F187" s="254"/>
      <c r="G187" s="255"/>
      <c r="H187" s="255">
        <v>422</v>
      </c>
      <c r="I187" s="256" t="s">
        <v>94</v>
      </c>
      <c r="J187" s="186">
        <v>43</v>
      </c>
      <c r="K187" s="267">
        <f>K219+K220+K221</f>
        <v>70000</v>
      </c>
      <c r="L187" s="268">
        <f>L219+L220+L221</f>
        <v>0</v>
      </c>
    </row>
    <row r="188" spans="2:12" ht="15" customHeight="1" x14ac:dyDescent="0.25">
      <c r="B188" s="251" t="s">
        <v>23</v>
      </c>
      <c r="C188" s="252" t="s">
        <v>112</v>
      </c>
      <c r="D188" s="253"/>
      <c r="E188" s="254"/>
      <c r="F188" s="254"/>
      <c r="G188" s="255"/>
      <c r="H188" s="255">
        <v>426</v>
      </c>
      <c r="I188" s="256" t="s">
        <v>77</v>
      </c>
      <c r="J188" s="186">
        <v>43</v>
      </c>
      <c r="K188" s="267">
        <f>K222</f>
        <v>20000</v>
      </c>
      <c r="L188" s="268">
        <f>L222</f>
        <v>0</v>
      </c>
    </row>
    <row r="189" spans="2:12" ht="15" customHeight="1" x14ac:dyDescent="0.25">
      <c r="B189" s="153" t="s">
        <v>23</v>
      </c>
      <c r="C189" s="154" t="s">
        <v>112</v>
      </c>
      <c r="D189" s="154">
        <v>3</v>
      </c>
      <c r="E189" s="162">
        <v>1</v>
      </c>
      <c r="F189" s="162">
        <v>1</v>
      </c>
      <c r="G189" s="163">
        <v>1</v>
      </c>
      <c r="H189" s="163">
        <v>311</v>
      </c>
      <c r="I189" s="194" t="s">
        <v>42</v>
      </c>
      <c r="J189" s="186">
        <v>43</v>
      </c>
      <c r="K189" s="201">
        <v>50000</v>
      </c>
      <c r="L189" s="217">
        <v>0</v>
      </c>
    </row>
    <row r="190" spans="2:12" ht="15" customHeight="1" x14ac:dyDescent="0.25">
      <c r="B190" s="16" t="s">
        <v>23</v>
      </c>
      <c r="C190" s="17" t="s">
        <v>112</v>
      </c>
      <c r="D190" s="154">
        <v>3</v>
      </c>
      <c r="E190" s="162">
        <v>1</v>
      </c>
      <c r="F190" s="162">
        <v>1</v>
      </c>
      <c r="G190" s="163">
        <v>3</v>
      </c>
      <c r="H190" s="163">
        <v>311</v>
      </c>
      <c r="I190" s="194" t="s">
        <v>43</v>
      </c>
      <c r="J190" s="186">
        <v>43</v>
      </c>
      <c r="K190" s="201">
        <v>50000</v>
      </c>
      <c r="L190" s="217">
        <v>0</v>
      </c>
    </row>
    <row r="191" spans="2:12" ht="15" customHeight="1" x14ac:dyDescent="0.25">
      <c r="B191" s="16" t="s">
        <v>23</v>
      </c>
      <c r="C191" s="17" t="s">
        <v>112</v>
      </c>
      <c r="D191" s="154">
        <v>3</v>
      </c>
      <c r="E191" s="162">
        <v>1</v>
      </c>
      <c r="F191" s="162">
        <v>2</v>
      </c>
      <c r="G191" s="163">
        <v>1</v>
      </c>
      <c r="H191" s="163">
        <v>312</v>
      </c>
      <c r="I191" s="194" t="s">
        <v>32</v>
      </c>
      <c r="J191" s="186">
        <v>43</v>
      </c>
      <c r="K191" s="201">
        <v>20000</v>
      </c>
      <c r="L191" s="217">
        <v>0</v>
      </c>
    </row>
    <row r="192" spans="2:12" ht="15" customHeight="1" x14ac:dyDescent="0.25">
      <c r="B192" s="16" t="s">
        <v>23</v>
      </c>
      <c r="C192" s="17" t="s">
        <v>112</v>
      </c>
      <c r="D192" s="154">
        <v>3</v>
      </c>
      <c r="E192" s="162">
        <v>1</v>
      </c>
      <c r="F192" s="162">
        <v>3</v>
      </c>
      <c r="G192" s="163">
        <v>2</v>
      </c>
      <c r="H192" s="163">
        <v>313</v>
      </c>
      <c r="I192" s="194" t="s">
        <v>44</v>
      </c>
      <c r="J192" s="186">
        <v>43</v>
      </c>
      <c r="K192" s="201">
        <v>50000</v>
      </c>
      <c r="L192" s="217">
        <v>0</v>
      </c>
    </row>
    <row r="193" spans="2:12" ht="15" customHeight="1" x14ac:dyDescent="0.25">
      <c r="B193" s="16" t="s">
        <v>23</v>
      </c>
      <c r="C193" s="17" t="s">
        <v>112</v>
      </c>
      <c r="D193" s="154">
        <v>3</v>
      </c>
      <c r="E193" s="162">
        <v>1</v>
      </c>
      <c r="F193" s="162">
        <v>3</v>
      </c>
      <c r="G193" s="163">
        <v>3</v>
      </c>
      <c r="H193" s="163">
        <v>313</v>
      </c>
      <c r="I193" s="194" t="s">
        <v>45</v>
      </c>
      <c r="J193" s="186">
        <v>43</v>
      </c>
      <c r="K193" s="201">
        <v>20000</v>
      </c>
      <c r="L193" s="217">
        <v>0</v>
      </c>
    </row>
    <row r="194" spans="2:12" ht="15" customHeight="1" x14ac:dyDescent="0.25">
      <c r="B194" s="16" t="s">
        <v>23</v>
      </c>
      <c r="C194" s="17" t="s">
        <v>112</v>
      </c>
      <c r="D194" s="154">
        <v>3</v>
      </c>
      <c r="E194" s="162">
        <v>2</v>
      </c>
      <c r="F194" s="162">
        <v>1</v>
      </c>
      <c r="G194" s="163">
        <v>1</v>
      </c>
      <c r="H194" s="163">
        <v>321</v>
      </c>
      <c r="I194" s="28" t="s">
        <v>46</v>
      </c>
      <c r="J194" s="186">
        <v>43</v>
      </c>
      <c r="K194" s="201">
        <v>30000</v>
      </c>
      <c r="L194" s="217">
        <v>0</v>
      </c>
    </row>
    <row r="195" spans="2:12" ht="25.5" x14ac:dyDescent="0.25">
      <c r="B195" s="16" t="s">
        <v>23</v>
      </c>
      <c r="C195" s="17" t="s">
        <v>112</v>
      </c>
      <c r="D195" s="154">
        <v>3</v>
      </c>
      <c r="E195" s="162">
        <v>2</v>
      </c>
      <c r="F195" s="162">
        <v>1</v>
      </c>
      <c r="G195" s="163">
        <v>2</v>
      </c>
      <c r="H195" s="163">
        <v>321</v>
      </c>
      <c r="I195" s="28" t="s">
        <v>47</v>
      </c>
      <c r="J195" s="186">
        <v>43</v>
      </c>
      <c r="K195" s="201">
        <v>30000</v>
      </c>
      <c r="L195" s="217">
        <v>0</v>
      </c>
    </row>
    <row r="196" spans="2:12" ht="15" customHeight="1" x14ac:dyDescent="0.25">
      <c r="B196" s="16" t="s">
        <v>23</v>
      </c>
      <c r="C196" s="17" t="s">
        <v>112</v>
      </c>
      <c r="D196" s="154">
        <v>3</v>
      </c>
      <c r="E196" s="162">
        <v>2</v>
      </c>
      <c r="F196" s="162">
        <v>2</v>
      </c>
      <c r="G196" s="163">
        <v>1</v>
      </c>
      <c r="H196" s="163">
        <v>322</v>
      </c>
      <c r="I196" s="28" t="s">
        <v>50</v>
      </c>
      <c r="J196" s="186">
        <v>43</v>
      </c>
      <c r="K196" s="201">
        <v>50000</v>
      </c>
      <c r="L196" s="217">
        <v>0</v>
      </c>
    </row>
    <row r="197" spans="2:12" ht="15" customHeight="1" x14ac:dyDescent="0.25">
      <c r="B197" s="16" t="s">
        <v>23</v>
      </c>
      <c r="C197" s="17" t="s">
        <v>112</v>
      </c>
      <c r="D197" s="154">
        <v>3</v>
      </c>
      <c r="E197" s="162">
        <v>2</v>
      </c>
      <c r="F197" s="162">
        <v>2</v>
      </c>
      <c r="G197" s="163">
        <v>2</v>
      </c>
      <c r="H197" s="163">
        <v>322</v>
      </c>
      <c r="I197" s="195" t="s">
        <v>118</v>
      </c>
      <c r="J197" s="186">
        <v>43</v>
      </c>
      <c r="K197" s="201">
        <v>20000</v>
      </c>
      <c r="L197" s="217">
        <v>0</v>
      </c>
    </row>
    <row r="198" spans="2:12" ht="15" customHeight="1" x14ac:dyDescent="0.25">
      <c r="B198" s="16" t="s">
        <v>23</v>
      </c>
      <c r="C198" s="17" t="s">
        <v>112</v>
      </c>
      <c r="D198" s="154">
        <v>3</v>
      </c>
      <c r="E198" s="162">
        <v>2</v>
      </c>
      <c r="F198" s="162">
        <v>2</v>
      </c>
      <c r="G198" s="163">
        <v>3</v>
      </c>
      <c r="H198" s="163">
        <v>322</v>
      </c>
      <c r="I198" s="195" t="s">
        <v>91</v>
      </c>
      <c r="J198" s="186">
        <v>43</v>
      </c>
      <c r="K198" s="201">
        <v>50000</v>
      </c>
      <c r="L198" s="217">
        <v>0</v>
      </c>
    </row>
    <row r="199" spans="2:12" ht="15" customHeight="1" x14ac:dyDescent="0.25">
      <c r="B199" s="16" t="s">
        <v>23</v>
      </c>
      <c r="C199" s="17" t="s">
        <v>112</v>
      </c>
      <c r="D199" s="154">
        <v>3</v>
      </c>
      <c r="E199" s="162">
        <v>2</v>
      </c>
      <c r="F199" s="162">
        <v>2</v>
      </c>
      <c r="G199" s="163">
        <v>5</v>
      </c>
      <c r="H199" s="163">
        <v>322</v>
      </c>
      <c r="I199" s="195" t="s">
        <v>54</v>
      </c>
      <c r="J199" s="186">
        <v>43</v>
      </c>
      <c r="K199" s="201">
        <v>10000</v>
      </c>
      <c r="L199" s="217">
        <v>0</v>
      </c>
    </row>
    <row r="200" spans="2:12" ht="15" customHeight="1" x14ac:dyDescent="0.25">
      <c r="B200" s="16" t="s">
        <v>23</v>
      </c>
      <c r="C200" s="17" t="s">
        <v>112</v>
      </c>
      <c r="D200" s="154">
        <v>3</v>
      </c>
      <c r="E200" s="162">
        <v>2</v>
      </c>
      <c r="F200" s="162">
        <v>3</v>
      </c>
      <c r="G200" s="163">
        <v>1</v>
      </c>
      <c r="H200" s="163">
        <v>323</v>
      </c>
      <c r="I200" s="196" t="s">
        <v>56</v>
      </c>
      <c r="J200" s="186">
        <v>43</v>
      </c>
      <c r="K200" s="201">
        <v>50000</v>
      </c>
      <c r="L200" s="217">
        <v>0</v>
      </c>
    </row>
    <row r="201" spans="2:12" ht="15" customHeight="1" x14ac:dyDescent="0.25">
      <c r="B201" s="16" t="s">
        <v>23</v>
      </c>
      <c r="C201" s="17" t="s">
        <v>112</v>
      </c>
      <c r="D201" s="154">
        <v>3</v>
      </c>
      <c r="E201" s="162">
        <v>2</v>
      </c>
      <c r="F201" s="162">
        <v>3</v>
      </c>
      <c r="G201" s="163">
        <v>2</v>
      </c>
      <c r="H201" s="163">
        <v>323</v>
      </c>
      <c r="I201" s="194" t="s">
        <v>78</v>
      </c>
      <c r="J201" s="186">
        <v>43</v>
      </c>
      <c r="K201" s="201">
        <v>50000</v>
      </c>
      <c r="L201" s="217">
        <v>0</v>
      </c>
    </row>
    <row r="202" spans="2:12" ht="15" customHeight="1" x14ac:dyDescent="0.25">
      <c r="B202" s="16" t="s">
        <v>23</v>
      </c>
      <c r="C202" s="17" t="s">
        <v>112</v>
      </c>
      <c r="D202" s="154">
        <v>3</v>
      </c>
      <c r="E202" s="162">
        <v>2</v>
      </c>
      <c r="F202" s="162">
        <v>3</v>
      </c>
      <c r="G202" s="163">
        <v>3</v>
      </c>
      <c r="H202" s="163">
        <v>323</v>
      </c>
      <c r="I202" s="52" t="s">
        <v>57</v>
      </c>
      <c r="J202" s="119">
        <v>43</v>
      </c>
      <c r="K202" s="201">
        <v>500000</v>
      </c>
      <c r="L202" s="217">
        <v>150000</v>
      </c>
    </row>
    <row r="203" spans="2:12" ht="15" customHeight="1" x14ac:dyDescent="0.25">
      <c r="B203" s="16" t="s">
        <v>23</v>
      </c>
      <c r="C203" s="17" t="s">
        <v>112</v>
      </c>
      <c r="D203" s="154">
        <v>3</v>
      </c>
      <c r="E203" s="162">
        <v>2</v>
      </c>
      <c r="F203" s="162">
        <v>3</v>
      </c>
      <c r="G203" s="163">
        <v>4</v>
      </c>
      <c r="H203" s="163">
        <v>323</v>
      </c>
      <c r="I203" s="52" t="s">
        <v>119</v>
      </c>
      <c r="J203" s="119">
        <v>43</v>
      </c>
      <c r="K203" s="201">
        <v>50000</v>
      </c>
      <c r="L203" s="217">
        <v>0</v>
      </c>
    </row>
    <row r="204" spans="2:12" ht="15" customHeight="1" x14ac:dyDescent="0.25">
      <c r="B204" s="16" t="s">
        <v>23</v>
      </c>
      <c r="C204" s="17" t="s">
        <v>112</v>
      </c>
      <c r="D204" s="154">
        <v>3</v>
      </c>
      <c r="E204" s="162">
        <v>2</v>
      </c>
      <c r="F204" s="162">
        <v>3</v>
      </c>
      <c r="G204" s="163">
        <v>5</v>
      </c>
      <c r="H204" s="163">
        <v>323</v>
      </c>
      <c r="I204" s="52" t="s">
        <v>59</v>
      </c>
      <c r="J204" s="119">
        <v>43</v>
      </c>
      <c r="K204" s="201">
        <v>50000</v>
      </c>
      <c r="L204" s="217">
        <v>0</v>
      </c>
    </row>
    <row r="205" spans="2:12" ht="15" customHeight="1" x14ac:dyDescent="0.25">
      <c r="B205" s="16" t="s">
        <v>23</v>
      </c>
      <c r="C205" s="17" t="s">
        <v>112</v>
      </c>
      <c r="D205" s="154">
        <v>3</v>
      </c>
      <c r="E205" s="162">
        <v>2</v>
      </c>
      <c r="F205" s="162">
        <v>3</v>
      </c>
      <c r="G205" s="163">
        <v>6</v>
      </c>
      <c r="H205" s="163">
        <v>323</v>
      </c>
      <c r="I205" s="52" t="s">
        <v>60</v>
      </c>
      <c r="J205" s="119">
        <v>43</v>
      </c>
      <c r="K205" s="201">
        <v>10000</v>
      </c>
      <c r="L205" s="217">
        <v>0</v>
      </c>
    </row>
    <row r="206" spans="2:12" ht="15" customHeight="1" x14ac:dyDescent="0.25">
      <c r="B206" s="16" t="s">
        <v>23</v>
      </c>
      <c r="C206" s="17" t="s">
        <v>112</v>
      </c>
      <c r="D206" s="17">
        <v>3</v>
      </c>
      <c r="E206" s="146">
        <v>2</v>
      </c>
      <c r="F206" s="146">
        <v>3</v>
      </c>
      <c r="G206" s="146">
        <v>7</v>
      </c>
      <c r="H206" s="20">
        <v>323</v>
      </c>
      <c r="I206" s="52" t="s">
        <v>61</v>
      </c>
      <c r="J206" s="119">
        <v>43</v>
      </c>
      <c r="K206" s="201">
        <v>50000</v>
      </c>
      <c r="L206" s="217">
        <v>50000</v>
      </c>
    </row>
    <row r="207" spans="2:12" ht="15" customHeight="1" x14ac:dyDescent="0.25">
      <c r="B207" s="16" t="s">
        <v>23</v>
      </c>
      <c r="C207" s="17" t="s">
        <v>112</v>
      </c>
      <c r="D207" s="17">
        <v>3</v>
      </c>
      <c r="E207" s="146">
        <v>2</v>
      </c>
      <c r="F207" s="146">
        <v>3</v>
      </c>
      <c r="G207" s="146">
        <v>8</v>
      </c>
      <c r="H207" s="20">
        <v>323</v>
      </c>
      <c r="I207" s="52" t="s">
        <v>85</v>
      </c>
      <c r="J207" s="119">
        <v>43</v>
      </c>
      <c r="K207" s="201">
        <v>50000</v>
      </c>
      <c r="L207" s="217">
        <v>0</v>
      </c>
    </row>
    <row r="208" spans="2:12" ht="15" customHeight="1" x14ac:dyDescent="0.25">
      <c r="B208" s="16" t="s">
        <v>23</v>
      </c>
      <c r="C208" s="17" t="s">
        <v>112</v>
      </c>
      <c r="D208" s="17">
        <v>3</v>
      </c>
      <c r="E208" s="146">
        <v>2</v>
      </c>
      <c r="F208" s="146">
        <v>3</v>
      </c>
      <c r="G208" s="146">
        <v>9</v>
      </c>
      <c r="H208" s="20">
        <v>323</v>
      </c>
      <c r="I208" s="52" t="s">
        <v>86</v>
      </c>
      <c r="J208" s="119">
        <v>43</v>
      </c>
      <c r="K208" s="201">
        <v>50000</v>
      </c>
      <c r="L208" s="217">
        <v>0</v>
      </c>
    </row>
    <row r="209" spans="2:12" ht="15" customHeight="1" x14ac:dyDescent="0.25">
      <c r="B209" s="16" t="s">
        <v>23</v>
      </c>
      <c r="C209" s="17" t="s">
        <v>112</v>
      </c>
      <c r="D209" s="17">
        <v>3</v>
      </c>
      <c r="E209" s="146">
        <v>2</v>
      </c>
      <c r="F209" s="146">
        <v>4</v>
      </c>
      <c r="G209" s="146">
        <v>1</v>
      </c>
      <c r="H209" s="20">
        <v>324</v>
      </c>
      <c r="I209" s="52" t="s">
        <v>37</v>
      </c>
      <c r="J209" s="119">
        <v>43</v>
      </c>
      <c r="K209" s="201">
        <v>50000</v>
      </c>
      <c r="L209" s="217">
        <v>0</v>
      </c>
    </row>
    <row r="210" spans="2:12" ht="15" customHeight="1" x14ac:dyDescent="0.25">
      <c r="B210" s="16" t="s">
        <v>23</v>
      </c>
      <c r="C210" s="17" t="s">
        <v>112</v>
      </c>
      <c r="D210" s="17">
        <v>3</v>
      </c>
      <c r="E210" s="146">
        <v>2</v>
      </c>
      <c r="F210" s="146">
        <v>9</v>
      </c>
      <c r="G210" s="146">
        <v>1</v>
      </c>
      <c r="H210" s="20">
        <v>329</v>
      </c>
      <c r="I210" s="52" t="s">
        <v>63</v>
      </c>
      <c r="J210" s="119">
        <v>43</v>
      </c>
      <c r="K210" s="201">
        <v>20000</v>
      </c>
      <c r="L210" s="217">
        <v>0</v>
      </c>
    </row>
    <row r="211" spans="2:12" ht="15" customHeight="1" x14ac:dyDescent="0.25">
      <c r="B211" s="16" t="s">
        <v>23</v>
      </c>
      <c r="C211" s="17" t="s">
        <v>112</v>
      </c>
      <c r="D211" s="17">
        <v>3</v>
      </c>
      <c r="E211" s="146">
        <v>2</v>
      </c>
      <c r="F211" s="146">
        <v>9</v>
      </c>
      <c r="G211" s="147">
        <v>3</v>
      </c>
      <c r="H211" s="147">
        <v>329</v>
      </c>
      <c r="I211" s="164" t="s">
        <v>65</v>
      </c>
      <c r="J211" s="119">
        <v>43</v>
      </c>
      <c r="K211" s="201">
        <v>10000</v>
      </c>
      <c r="L211" s="217">
        <v>0</v>
      </c>
    </row>
    <row r="212" spans="2:12" ht="15" customHeight="1" x14ac:dyDescent="0.25">
      <c r="B212" s="16" t="s">
        <v>23</v>
      </c>
      <c r="C212" s="17" t="s">
        <v>112</v>
      </c>
      <c r="D212" s="17">
        <v>3</v>
      </c>
      <c r="E212" s="146">
        <v>2</v>
      </c>
      <c r="F212" s="146">
        <v>9</v>
      </c>
      <c r="G212" s="147">
        <v>6</v>
      </c>
      <c r="H212" s="147">
        <v>329</v>
      </c>
      <c r="I212" s="164" t="s">
        <v>68</v>
      </c>
      <c r="J212" s="119">
        <v>43</v>
      </c>
      <c r="K212" s="201">
        <v>300000</v>
      </c>
      <c r="L212" s="217">
        <v>300000</v>
      </c>
    </row>
    <row r="213" spans="2:12" ht="15" customHeight="1" x14ac:dyDescent="0.25">
      <c r="B213" s="16" t="s">
        <v>23</v>
      </c>
      <c r="C213" s="17" t="s">
        <v>112</v>
      </c>
      <c r="D213" s="17">
        <v>3</v>
      </c>
      <c r="E213" s="146">
        <v>2</v>
      </c>
      <c r="F213" s="146">
        <v>9</v>
      </c>
      <c r="G213" s="147">
        <v>9</v>
      </c>
      <c r="H213" s="147">
        <v>329</v>
      </c>
      <c r="I213" s="164" t="s">
        <v>38</v>
      </c>
      <c r="J213" s="119">
        <v>43</v>
      </c>
      <c r="K213" s="201">
        <v>10000</v>
      </c>
      <c r="L213" s="217">
        <v>0</v>
      </c>
    </row>
    <row r="214" spans="2:12" ht="15" customHeight="1" x14ac:dyDescent="0.25">
      <c r="B214" s="16" t="s">
        <v>23</v>
      </c>
      <c r="C214" s="17" t="s">
        <v>112</v>
      </c>
      <c r="D214" s="17">
        <v>3</v>
      </c>
      <c r="E214" s="146">
        <v>6</v>
      </c>
      <c r="F214" s="146">
        <v>3</v>
      </c>
      <c r="G214" s="147">
        <v>1</v>
      </c>
      <c r="H214" s="147">
        <v>363</v>
      </c>
      <c r="I214" s="164" t="s">
        <v>87</v>
      </c>
      <c r="J214" s="119">
        <v>43</v>
      </c>
      <c r="K214" s="201">
        <v>60000</v>
      </c>
      <c r="L214" s="217">
        <v>0</v>
      </c>
    </row>
    <row r="215" spans="2:12" ht="15" customHeight="1" x14ac:dyDescent="0.25">
      <c r="B215" s="16" t="s">
        <v>23</v>
      </c>
      <c r="C215" s="17" t="s">
        <v>112</v>
      </c>
      <c r="D215" s="17">
        <v>3</v>
      </c>
      <c r="E215" s="146">
        <v>6</v>
      </c>
      <c r="F215" s="146">
        <v>3</v>
      </c>
      <c r="G215" s="147">
        <v>2</v>
      </c>
      <c r="H215" s="147">
        <v>363</v>
      </c>
      <c r="I215" s="164" t="s">
        <v>120</v>
      </c>
      <c r="J215" s="119">
        <v>43</v>
      </c>
      <c r="K215" s="201">
        <v>60000</v>
      </c>
      <c r="L215" s="217">
        <v>0</v>
      </c>
    </row>
    <row r="216" spans="2:12" ht="25.5" x14ac:dyDescent="0.25">
      <c r="B216" s="16" t="s">
        <v>23</v>
      </c>
      <c r="C216" s="17" t="s">
        <v>112</v>
      </c>
      <c r="D216" s="17">
        <v>3</v>
      </c>
      <c r="E216" s="146">
        <v>6</v>
      </c>
      <c r="F216" s="146">
        <v>6</v>
      </c>
      <c r="G216" s="147">
        <v>1</v>
      </c>
      <c r="H216" s="147">
        <v>366</v>
      </c>
      <c r="I216" s="161" t="s">
        <v>121</v>
      </c>
      <c r="J216" s="119">
        <v>43</v>
      </c>
      <c r="K216" s="201">
        <v>60000</v>
      </c>
      <c r="L216" s="217">
        <v>0</v>
      </c>
    </row>
    <row r="217" spans="2:12" ht="15" customHeight="1" x14ac:dyDescent="0.25">
      <c r="B217" s="214" t="s">
        <v>23</v>
      </c>
      <c r="C217" s="187" t="s">
        <v>112</v>
      </c>
      <c r="D217" s="187">
        <v>3</v>
      </c>
      <c r="E217" s="188">
        <v>8</v>
      </c>
      <c r="F217" s="188">
        <v>3</v>
      </c>
      <c r="G217" s="213">
        <v>1</v>
      </c>
      <c r="H217" s="213">
        <v>383</v>
      </c>
      <c r="I217" s="218" t="s">
        <v>72</v>
      </c>
      <c r="J217" s="119">
        <v>43</v>
      </c>
      <c r="K217" s="201">
        <v>50000</v>
      </c>
      <c r="L217" s="217">
        <v>0</v>
      </c>
    </row>
    <row r="218" spans="2:12" ht="15" customHeight="1" x14ac:dyDescent="0.25">
      <c r="B218" s="16" t="s">
        <v>23</v>
      </c>
      <c r="C218" s="17" t="s">
        <v>112</v>
      </c>
      <c r="D218" s="17">
        <v>4</v>
      </c>
      <c r="E218" s="146">
        <v>1</v>
      </c>
      <c r="F218" s="146">
        <v>2</v>
      </c>
      <c r="G218" s="147">
        <v>3</v>
      </c>
      <c r="H218" s="147">
        <v>412</v>
      </c>
      <c r="I218" s="164" t="s">
        <v>101</v>
      </c>
      <c r="J218" s="119">
        <v>43</v>
      </c>
      <c r="K218" s="201">
        <v>50000</v>
      </c>
      <c r="L218" s="217">
        <v>0</v>
      </c>
    </row>
    <row r="219" spans="2:12" x14ac:dyDescent="0.25">
      <c r="B219" s="16" t="s">
        <v>23</v>
      </c>
      <c r="C219" s="17" t="s">
        <v>112</v>
      </c>
      <c r="D219" s="17">
        <v>4</v>
      </c>
      <c r="E219" s="146">
        <v>2</v>
      </c>
      <c r="F219" s="146">
        <v>2</v>
      </c>
      <c r="G219" s="147">
        <v>1</v>
      </c>
      <c r="H219" s="147">
        <v>422</v>
      </c>
      <c r="I219" s="164" t="s">
        <v>95</v>
      </c>
      <c r="J219" s="119">
        <v>43</v>
      </c>
      <c r="K219" s="201">
        <v>50000</v>
      </c>
      <c r="L219" s="217">
        <v>0</v>
      </c>
    </row>
    <row r="220" spans="2:12" ht="15" customHeight="1" x14ac:dyDescent="0.25">
      <c r="B220" s="16" t="s">
        <v>23</v>
      </c>
      <c r="C220" s="17" t="s">
        <v>112</v>
      </c>
      <c r="D220" s="17">
        <v>4</v>
      </c>
      <c r="E220" s="146">
        <v>2</v>
      </c>
      <c r="F220" s="146">
        <v>2</v>
      </c>
      <c r="G220" s="147">
        <v>2</v>
      </c>
      <c r="H220" s="147">
        <v>422</v>
      </c>
      <c r="I220" s="164" t="s">
        <v>122</v>
      </c>
      <c r="J220" s="119">
        <v>43</v>
      </c>
      <c r="K220" s="201">
        <v>10000</v>
      </c>
      <c r="L220" s="217">
        <v>0</v>
      </c>
    </row>
    <row r="221" spans="2:12" ht="15" customHeight="1" x14ac:dyDescent="0.25">
      <c r="B221" s="16" t="s">
        <v>23</v>
      </c>
      <c r="C221" s="17" t="s">
        <v>112</v>
      </c>
      <c r="D221" s="17">
        <v>4</v>
      </c>
      <c r="E221" s="146">
        <v>2</v>
      </c>
      <c r="F221" s="146">
        <v>2</v>
      </c>
      <c r="G221" s="147">
        <v>7</v>
      </c>
      <c r="H221" s="147">
        <v>422</v>
      </c>
      <c r="I221" s="164" t="s">
        <v>96</v>
      </c>
      <c r="J221" s="119">
        <v>43</v>
      </c>
      <c r="K221" s="201">
        <v>10000</v>
      </c>
      <c r="L221" s="217">
        <v>0</v>
      </c>
    </row>
    <row r="222" spans="2:12" ht="15" customHeight="1" x14ac:dyDescent="0.25">
      <c r="B222" s="16" t="s">
        <v>23</v>
      </c>
      <c r="C222" s="17" t="s">
        <v>112</v>
      </c>
      <c r="D222" s="17">
        <v>4</v>
      </c>
      <c r="E222" s="146">
        <v>2</v>
      </c>
      <c r="F222" s="146">
        <v>6</v>
      </c>
      <c r="G222" s="147">
        <v>2</v>
      </c>
      <c r="H222" s="147">
        <v>426</v>
      </c>
      <c r="I222" s="164" t="s">
        <v>79</v>
      </c>
      <c r="J222" s="119">
        <v>43</v>
      </c>
      <c r="K222" s="201">
        <v>20000</v>
      </c>
      <c r="L222" s="217">
        <v>0</v>
      </c>
    </row>
    <row r="223" spans="2:12" ht="38.25" x14ac:dyDescent="0.25">
      <c r="B223" s="2" t="s">
        <v>23</v>
      </c>
      <c r="C223" s="3" t="s">
        <v>123</v>
      </c>
      <c r="D223" s="3"/>
      <c r="E223" s="4"/>
      <c r="F223" s="4"/>
      <c r="G223" s="4"/>
      <c r="H223" s="5" t="s">
        <v>4</v>
      </c>
      <c r="I223" s="231" t="s">
        <v>124</v>
      </c>
      <c r="J223" s="118">
        <v>43</v>
      </c>
      <c r="K223" s="236">
        <f t="shared" ref="K223:L223" si="42">SUM(K226:K226)</f>
        <v>1300000</v>
      </c>
      <c r="L223" s="349">
        <f t="shared" si="42"/>
        <v>1300000</v>
      </c>
    </row>
    <row r="224" spans="2:12" x14ac:dyDescent="0.25">
      <c r="B224" s="351" t="s">
        <v>23</v>
      </c>
      <c r="C224" s="352" t="s">
        <v>123</v>
      </c>
      <c r="D224" s="352"/>
      <c r="E224" s="353"/>
      <c r="F224" s="353"/>
      <c r="G224" s="354"/>
      <c r="H224" s="354">
        <v>32</v>
      </c>
      <c r="I224" s="355" t="s">
        <v>27</v>
      </c>
      <c r="J224" s="118">
        <v>43</v>
      </c>
      <c r="K224" s="377">
        <f t="shared" ref="K224:L224" si="43">K225</f>
        <v>1300000</v>
      </c>
      <c r="L224" s="378">
        <f t="shared" si="43"/>
        <v>1300000</v>
      </c>
    </row>
    <row r="225" spans="2:15" ht="15" customHeight="1" x14ac:dyDescent="0.25">
      <c r="B225" s="259" t="s">
        <v>23</v>
      </c>
      <c r="C225" s="260" t="s">
        <v>123</v>
      </c>
      <c r="D225" s="253"/>
      <c r="E225" s="254"/>
      <c r="F225" s="254"/>
      <c r="G225" s="255"/>
      <c r="H225" s="255">
        <v>323</v>
      </c>
      <c r="I225" s="283" t="s">
        <v>36</v>
      </c>
      <c r="J225" s="119">
        <v>43</v>
      </c>
      <c r="K225" s="267">
        <f>K226</f>
        <v>1300000</v>
      </c>
      <c r="L225" s="268">
        <f>L226</f>
        <v>1300000</v>
      </c>
    </row>
    <row r="226" spans="2:15" ht="15" customHeight="1" x14ac:dyDescent="0.25">
      <c r="B226" s="7" t="s">
        <v>23</v>
      </c>
      <c r="C226" s="8" t="s">
        <v>123</v>
      </c>
      <c r="D226" s="8">
        <v>3</v>
      </c>
      <c r="E226" s="1">
        <v>2</v>
      </c>
      <c r="F226" s="1">
        <v>3</v>
      </c>
      <c r="G226" s="1">
        <v>7</v>
      </c>
      <c r="H226" s="13">
        <v>323</v>
      </c>
      <c r="I226" s="24" t="s">
        <v>61</v>
      </c>
      <c r="J226" s="119">
        <v>43</v>
      </c>
      <c r="K226" s="201">
        <v>1300000</v>
      </c>
      <c r="L226" s="217">
        <v>1300000</v>
      </c>
    </row>
    <row r="227" spans="2:15" ht="25.5" x14ac:dyDescent="0.25">
      <c r="B227" s="65" t="s">
        <v>23</v>
      </c>
      <c r="C227" s="58" t="s">
        <v>125</v>
      </c>
      <c r="D227" s="58"/>
      <c r="E227" s="59"/>
      <c r="F227" s="59"/>
      <c r="G227" s="59"/>
      <c r="H227" s="60" t="s">
        <v>4</v>
      </c>
      <c r="I227" s="61" t="s">
        <v>214</v>
      </c>
      <c r="J227" s="121">
        <v>11</v>
      </c>
      <c r="K227" s="236">
        <f>SUM(K232:K237)</f>
        <v>3875000</v>
      </c>
      <c r="L227" s="349">
        <f>SUM(L232:L237)</f>
        <v>4021500</v>
      </c>
    </row>
    <row r="228" spans="2:15" x14ac:dyDescent="0.25">
      <c r="B228" s="364" t="s">
        <v>23</v>
      </c>
      <c r="C228" s="365" t="s">
        <v>125</v>
      </c>
      <c r="D228" s="365"/>
      <c r="E228" s="368"/>
      <c r="F228" s="368"/>
      <c r="G228" s="369"/>
      <c r="H228" s="369">
        <v>32</v>
      </c>
      <c r="I228" s="355" t="s">
        <v>27</v>
      </c>
      <c r="J228" s="121">
        <v>11</v>
      </c>
      <c r="K228" s="377">
        <f>K229+K230+K231</f>
        <v>3875000</v>
      </c>
      <c r="L228" s="378">
        <f>L229+L230+L231</f>
        <v>4021500</v>
      </c>
    </row>
    <row r="229" spans="2:15" x14ac:dyDescent="0.25">
      <c r="B229" s="259" t="s">
        <v>23</v>
      </c>
      <c r="C229" s="260" t="s">
        <v>125</v>
      </c>
      <c r="D229" s="253"/>
      <c r="E229" s="254"/>
      <c r="F229" s="254"/>
      <c r="G229" s="255"/>
      <c r="H229" s="255">
        <v>323</v>
      </c>
      <c r="I229" s="283" t="s">
        <v>36</v>
      </c>
      <c r="J229" s="121">
        <v>11</v>
      </c>
      <c r="K229" s="267">
        <f>K232+K233+K234</f>
        <v>3650000</v>
      </c>
      <c r="L229" s="268">
        <f>L232+L233+L234</f>
        <v>3856500</v>
      </c>
    </row>
    <row r="230" spans="2:15" x14ac:dyDescent="0.25">
      <c r="B230" s="259" t="s">
        <v>23</v>
      </c>
      <c r="C230" s="260" t="s">
        <v>125</v>
      </c>
      <c r="D230" s="253"/>
      <c r="E230" s="254"/>
      <c r="F230" s="254"/>
      <c r="G230" s="255"/>
      <c r="H230" s="255">
        <v>324</v>
      </c>
      <c r="I230" s="283" t="s">
        <v>37</v>
      </c>
      <c r="J230" s="121">
        <v>11</v>
      </c>
      <c r="K230" s="267">
        <f t="shared" ref="K230:L230" si="44">K235</f>
        <v>100000</v>
      </c>
      <c r="L230" s="268">
        <f t="shared" si="44"/>
        <v>40000</v>
      </c>
    </row>
    <row r="231" spans="2:15" x14ac:dyDescent="0.25">
      <c r="B231" s="259" t="s">
        <v>23</v>
      </c>
      <c r="C231" s="260" t="s">
        <v>125</v>
      </c>
      <c r="D231" s="253"/>
      <c r="E231" s="254"/>
      <c r="F231" s="254"/>
      <c r="G231" s="255"/>
      <c r="H231" s="255">
        <v>329</v>
      </c>
      <c r="I231" s="283" t="s">
        <v>38</v>
      </c>
      <c r="J231" s="121">
        <v>11</v>
      </c>
      <c r="K231" s="267">
        <f t="shared" ref="K231:L231" si="45">K236+K237</f>
        <v>125000</v>
      </c>
      <c r="L231" s="268">
        <f t="shared" si="45"/>
        <v>125000</v>
      </c>
      <c r="O231" s="413"/>
    </row>
    <row r="232" spans="2:15" ht="15" customHeight="1" x14ac:dyDescent="0.25">
      <c r="B232" s="53" t="s">
        <v>23</v>
      </c>
      <c r="C232" s="17" t="s">
        <v>125</v>
      </c>
      <c r="D232" s="54">
        <v>3</v>
      </c>
      <c r="E232" s="55">
        <v>2</v>
      </c>
      <c r="F232" s="55">
        <v>3</v>
      </c>
      <c r="G232" s="55">
        <v>5</v>
      </c>
      <c r="H232" s="176">
        <v>323</v>
      </c>
      <c r="I232" s="177" t="s">
        <v>59</v>
      </c>
      <c r="J232" s="120">
        <v>11</v>
      </c>
      <c r="K232" s="243">
        <f>175000+25000</f>
        <v>200000</v>
      </c>
      <c r="L232" s="217">
        <v>200000</v>
      </c>
    </row>
    <row r="233" spans="2:15" x14ac:dyDescent="0.25">
      <c r="B233" s="192" t="s">
        <v>23</v>
      </c>
      <c r="C233" s="193" t="s">
        <v>125</v>
      </c>
      <c r="D233" s="197">
        <v>3</v>
      </c>
      <c r="E233" s="198">
        <v>2</v>
      </c>
      <c r="F233" s="198">
        <v>3</v>
      </c>
      <c r="G233" s="198">
        <v>7</v>
      </c>
      <c r="H233" s="176">
        <v>323</v>
      </c>
      <c r="I233" s="52" t="s">
        <v>61</v>
      </c>
      <c r="J233" s="112">
        <v>11</v>
      </c>
      <c r="K233" s="219">
        <v>3300000</v>
      </c>
      <c r="L233" s="212">
        <v>3506500</v>
      </c>
    </row>
    <row r="234" spans="2:15" ht="15" customHeight="1" x14ac:dyDescent="0.25">
      <c r="B234" s="192" t="s">
        <v>23</v>
      </c>
      <c r="C234" s="193" t="s">
        <v>125</v>
      </c>
      <c r="D234" s="197">
        <v>3</v>
      </c>
      <c r="E234" s="198">
        <v>2</v>
      </c>
      <c r="F234" s="198">
        <v>3</v>
      </c>
      <c r="G234" s="199">
        <v>9</v>
      </c>
      <c r="H234" s="181">
        <v>323</v>
      </c>
      <c r="I234" s="200" t="s">
        <v>86</v>
      </c>
      <c r="J234" s="112">
        <v>11</v>
      </c>
      <c r="K234" s="219">
        <v>150000</v>
      </c>
      <c r="L234" s="212">
        <v>150000</v>
      </c>
    </row>
    <row r="235" spans="2:15" ht="15" customHeight="1" x14ac:dyDescent="0.25">
      <c r="B235" s="192" t="s">
        <v>23</v>
      </c>
      <c r="C235" s="193" t="s">
        <v>125</v>
      </c>
      <c r="D235" s="197">
        <v>3</v>
      </c>
      <c r="E235" s="198">
        <v>2</v>
      </c>
      <c r="F235" s="198">
        <v>4</v>
      </c>
      <c r="G235" s="199">
        <v>1</v>
      </c>
      <c r="H235" s="181">
        <v>324</v>
      </c>
      <c r="I235" s="200" t="s">
        <v>37</v>
      </c>
      <c r="J235" s="112">
        <v>11</v>
      </c>
      <c r="K235" s="219">
        <v>100000</v>
      </c>
      <c r="L235" s="212">
        <v>40000</v>
      </c>
    </row>
    <row r="236" spans="2:15" ht="15" customHeight="1" x14ac:dyDescent="0.25">
      <c r="B236" s="192" t="s">
        <v>23</v>
      </c>
      <c r="C236" s="193" t="s">
        <v>125</v>
      </c>
      <c r="D236" s="197">
        <v>3</v>
      </c>
      <c r="E236" s="198">
        <v>2</v>
      </c>
      <c r="F236" s="198">
        <v>9</v>
      </c>
      <c r="G236" s="199">
        <v>1</v>
      </c>
      <c r="H236" s="181">
        <v>329</v>
      </c>
      <c r="I236" s="200" t="s">
        <v>63</v>
      </c>
      <c r="J236" s="340">
        <v>11</v>
      </c>
      <c r="K236" s="219">
        <v>100000</v>
      </c>
      <c r="L236" s="212">
        <v>100000</v>
      </c>
    </row>
    <row r="237" spans="2:15" ht="15" customHeight="1" x14ac:dyDescent="0.25">
      <c r="B237" s="192" t="s">
        <v>23</v>
      </c>
      <c r="C237" s="193" t="s">
        <v>125</v>
      </c>
      <c r="D237" s="197">
        <v>3</v>
      </c>
      <c r="E237" s="198">
        <v>2</v>
      </c>
      <c r="F237" s="198">
        <v>9</v>
      </c>
      <c r="G237" s="199">
        <v>3</v>
      </c>
      <c r="H237" s="181">
        <v>329</v>
      </c>
      <c r="I237" s="200" t="s">
        <v>65</v>
      </c>
      <c r="J237" s="336">
        <v>11</v>
      </c>
      <c r="K237" s="243">
        <v>25000</v>
      </c>
      <c r="L237" s="217">
        <v>25000</v>
      </c>
    </row>
    <row r="238" spans="2:15" ht="25.5" x14ac:dyDescent="0.25">
      <c r="B238" s="149" t="s">
        <v>23</v>
      </c>
      <c r="C238" s="150" t="s">
        <v>126</v>
      </c>
      <c r="D238" s="143"/>
      <c r="E238" s="144"/>
      <c r="F238" s="144"/>
      <c r="G238" s="144"/>
      <c r="H238" s="145" t="s">
        <v>4</v>
      </c>
      <c r="I238" s="185" t="s">
        <v>127</v>
      </c>
      <c r="J238" s="78">
        <v>12</v>
      </c>
      <c r="K238" s="237">
        <f>SUM(K241)</f>
        <v>38500</v>
      </c>
      <c r="L238" s="439">
        <f>SUM(L241)</f>
        <v>38500</v>
      </c>
    </row>
    <row r="239" spans="2:15" x14ac:dyDescent="0.25">
      <c r="B239" s="371" t="s">
        <v>23</v>
      </c>
      <c r="C239" s="372" t="s">
        <v>126</v>
      </c>
      <c r="D239" s="373"/>
      <c r="E239" s="374"/>
      <c r="F239" s="374"/>
      <c r="G239" s="374"/>
      <c r="H239" s="372">
        <v>32</v>
      </c>
      <c r="I239" s="355" t="s">
        <v>27</v>
      </c>
      <c r="J239" s="78">
        <v>12</v>
      </c>
      <c r="K239" s="376">
        <f t="shared" ref="K239:L239" si="46">K240</f>
        <v>38500</v>
      </c>
      <c r="L239" s="440">
        <f t="shared" si="46"/>
        <v>38500</v>
      </c>
    </row>
    <row r="240" spans="2:15" ht="15" customHeight="1" x14ac:dyDescent="0.25">
      <c r="B240" s="259" t="s">
        <v>23</v>
      </c>
      <c r="C240" s="285" t="s">
        <v>126</v>
      </c>
      <c r="D240" s="260"/>
      <c r="E240" s="279"/>
      <c r="F240" s="279"/>
      <c r="G240" s="279"/>
      <c r="H240" s="280">
        <v>329</v>
      </c>
      <c r="I240" s="281" t="s">
        <v>38</v>
      </c>
      <c r="J240" s="223">
        <v>12</v>
      </c>
      <c r="K240" s="282">
        <f>K241</f>
        <v>38500</v>
      </c>
      <c r="L240" s="441">
        <f>L241</f>
        <v>38500</v>
      </c>
    </row>
    <row r="241" spans="2:14" ht="21" customHeight="1" x14ac:dyDescent="0.25">
      <c r="B241" s="7" t="s">
        <v>23</v>
      </c>
      <c r="C241" s="13" t="s">
        <v>126</v>
      </c>
      <c r="D241" s="17">
        <v>3</v>
      </c>
      <c r="E241" s="146">
        <v>2</v>
      </c>
      <c r="F241" s="146">
        <v>9</v>
      </c>
      <c r="G241" s="146">
        <v>4</v>
      </c>
      <c r="H241" s="20">
        <v>329</v>
      </c>
      <c r="I241" s="28" t="s">
        <v>66</v>
      </c>
      <c r="J241" s="223">
        <v>12</v>
      </c>
      <c r="K241" s="201">
        <v>38500</v>
      </c>
      <c r="L241" s="217">
        <v>38500</v>
      </c>
    </row>
    <row r="242" spans="2:14" ht="25.5" x14ac:dyDescent="0.25">
      <c r="B242" s="2" t="s">
        <v>23</v>
      </c>
      <c r="C242" s="3" t="s">
        <v>128</v>
      </c>
      <c r="D242" s="3"/>
      <c r="E242" s="4"/>
      <c r="F242" s="4"/>
      <c r="G242" s="4"/>
      <c r="H242" s="5" t="s">
        <v>4</v>
      </c>
      <c r="I242" s="182" t="s">
        <v>129</v>
      </c>
      <c r="J242" s="242">
        <v>11</v>
      </c>
      <c r="K242" s="236">
        <f>SUM(K246:K248)</f>
        <v>235000</v>
      </c>
      <c r="L242" s="349">
        <f>SUM(L246:L248)</f>
        <v>235000</v>
      </c>
    </row>
    <row r="243" spans="2:14" x14ac:dyDescent="0.25">
      <c r="B243" s="351" t="s">
        <v>23</v>
      </c>
      <c r="C243" s="352" t="s">
        <v>128</v>
      </c>
      <c r="D243" s="352"/>
      <c r="E243" s="353"/>
      <c r="F243" s="353"/>
      <c r="G243" s="354"/>
      <c r="H243" s="354">
        <v>32</v>
      </c>
      <c r="I243" s="355" t="s">
        <v>27</v>
      </c>
      <c r="J243" s="242">
        <v>11</v>
      </c>
      <c r="K243" s="377">
        <f>K244+K245</f>
        <v>235000</v>
      </c>
      <c r="L243" s="378">
        <f>L244+L245</f>
        <v>235000</v>
      </c>
    </row>
    <row r="244" spans="2:14" x14ac:dyDescent="0.25">
      <c r="B244" s="259" t="s">
        <v>23</v>
      </c>
      <c r="C244" s="285" t="s">
        <v>128</v>
      </c>
      <c r="D244" s="253"/>
      <c r="E244" s="254"/>
      <c r="F244" s="254"/>
      <c r="G244" s="255"/>
      <c r="H244" s="255">
        <v>323</v>
      </c>
      <c r="I244" s="286" t="s">
        <v>36</v>
      </c>
      <c r="J244" s="142">
        <v>11</v>
      </c>
      <c r="K244" s="267">
        <f>K246</f>
        <v>200000</v>
      </c>
      <c r="L244" s="268">
        <f>L246</f>
        <v>200000</v>
      </c>
    </row>
    <row r="245" spans="2:14" ht="15" customHeight="1" x14ac:dyDescent="0.25">
      <c r="B245" s="259" t="s">
        <v>23</v>
      </c>
      <c r="C245" s="285" t="s">
        <v>128</v>
      </c>
      <c r="D245" s="253"/>
      <c r="E245" s="254"/>
      <c r="F245" s="254"/>
      <c r="G245" s="255"/>
      <c r="H245" s="255">
        <v>329</v>
      </c>
      <c r="I245" s="286" t="s">
        <v>38</v>
      </c>
      <c r="J245" s="142">
        <v>11</v>
      </c>
      <c r="K245" s="267">
        <f t="shared" ref="K245:L245" si="47">K247+K248</f>
        <v>35000</v>
      </c>
      <c r="L245" s="268">
        <f t="shared" si="47"/>
        <v>35000</v>
      </c>
    </row>
    <row r="246" spans="2:14" ht="15" customHeight="1" x14ac:dyDescent="0.25">
      <c r="B246" s="7" t="s">
        <v>23</v>
      </c>
      <c r="C246" s="13" t="s">
        <v>128</v>
      </c>
      <c r="D246" s="8">
        <v>3</v>
      </c>
      <c r="E246" s="1">
        <v>2</v>
      </c>
      <c r="F246" s="1">
        <v>3</v>
      </c>
      <c r="G246" s="1">
        <v>7</v>
      </c>
      <c r="H246" s="13">
        <v>323</v>
      </c>
      <c r="I246" s="24" t="s">
        <v>61</v>
      </c>
      <c r="J246" s="142">
        <v>11</v>
      </c>
      <c r="K246" s="201">
        <v>200000</v>
      </c>
      <c r="L246" s="217">
        <v>200000</v>
      </c>
    </row>
    <row r="247" spans="2:14" ht="15" customHeight="1" x14ac:dyDescent="0.25">
      <c r="B247" s="7" t="s">
        <v>23</v>
      </c>
      <c r="C247" s="13" t="s">
        <v>128</v>
      </c>
      <c r="D247" s="8">
        <v>3</v>
      </c>
      <c r="E247" s="1">
        <v>2</v>
      </c>
      <c r="F247" s="1">
        <v>9</v>
      </c>
      <c r="G247" s="1">
        <v>1</v>
      </c>
      <c r="H247" s="13">
        <v>329</v>
      </c>
      <c r="I247" s="24" t="s">
        <v>63</v>
      </c>
      <c r="J247" s="142">
        <v>11</v>
      </c>
      <c r="K247" s="201">
        <v>10000</v>
      </c>
      <c r="L247" s="217">
        <v>10000</v>
      </c>
    </row>
    <row r="248" spans="2:14" ht="15" customHeight="1" x14ac:dyDescent="0.25">
      <c r="B248" s="16" t="s">
        <v>23</v>
      </c>
      <c r="C248" s="20" t="s">
        <v>128</v>
      </c>
      <c r="D248" s="17">
        <v>3</v>
      </c>
      <c r="E248" s="146">
        <v>2</v>
      </c>
      <c r="F248" s="146">
        <v>9</v>
      </c>
      <c r="G248" s="147">
        <v>4</v>
      </c>
      <c r="H248" s="147">
        <v>329</v>
      </c>
      <c r="I248" s="164" t="s">
        <v>66</v>
      </c>
      <c r="J248" s="415">
        <v>11</v>
      </c>
      <c r="K248" s="244">
        <v>25000</v>
      </c>
      <c r="L248" s="217">
        <v>25000</v>
      </c>
    </row>
    <row r="249" spans="2:14" ht="15" customHeight="1" x14ac:dyDescent="0.25">
      <c r="B249" s="29" t="s">
        <v>3</v>
      </c>
      <c r="C249" s="30" t="s">
        <v>130</v>
      </c>
      <c r="D249" s="30"/>
      <c r="E249" s="31"/>
      <c r="F249" s="31"/>
      <c r="G249" s="31"/>
      <c r="H249" s="32" t="s">
        <v>4</v>
      </c>
      <c r="I249" s="43" t="s">
        <v>131</v>
      </c>
      <c r="J249" s="111">
        <v>11</v>
      </c>
      <c r="K249" s="166">
        <f>SUM(K254:K258)</f>
        <v>8110000</v>
      </c>
      <c r="L249" s="129">
        <f>SUM(L254:L258)</f>
        <v>13010000</v>
      </c>
    </row>
    <row r="250" spans="2:14" ht="15" customHeight="1" x14ac:dyDescent="0.25">
      <c r="B250" s="351" t="s">
        <v>3</v>
      </c>
      <c r="C250" s="352" t="s">
        <v>130</v>
      </c>
      <c r="D250" s="359"/>
      <c r="E250" s="360"/>
      <c r="F250" s="360"/>
      <c r="G250" s="354"/>
      <c r="H250" s="361">
        <v>32</v>
      </c>
      <c r="I250" s="355" t="s">
        <v>27</v>
      </c>
      <c r="J250" s="111">
        <v>11</v>
      </c>
      <c r="K250" s="356">
        <f t="shared" ref="K250:L250" si="48">K252</f>
        <v>7030000</v>
      </c>
      <c r="L250" s="357">
        <f t="shared" si="48"/>
        <v>11030000</v>
      </c>
    </row>
    <row r="251" spans="2:14" ht="25.5" x14ac:dyDescent="0.25">
      <c r="B251" s="351" t="s">
        <v>3</v>
      </c>
      <c r="C251" s="352" t="s">
        <v>130</v>
      </c>
      <c r="D251" s="359"/>
      <c r="E251" s="360"/>
      <c r="F251" s="360"/>
      <c r="G251" s="354"/>
      <c r="H251" s="361">
        <v>42</v>
      </c>
      <c r="I251" s="355" t="s">
        <v>30</v>
      </c>
      <c r="J251" s="111">
        <v>11</v>
      </c>
      <c r="K251" s="356">
        <f t="shared" ref="K251:L251" si="49">K253</f>
        <v>1080000</v>
      </c>
      <c r="L251" s="357">
        <f t="shared" si="49"/>
        <v>1980000</v>
      </c>
      <c r="N251" s="413"/>
    </row>
    <row r="252" spans="2:14" ht="15" customHeight="1" x14ac:dyDescent="0.25">
      <c r="B252" s="259" t="s">
        <v>3</v>
      </c>
      <c r="C252" s="260" t="s">
        <v>130</v>
      </c>
      <c r="D252" s="264"/>
      <c r="E252" s="265"/>
      <c r="F252" s="265"/>
      <c r="G252" s="255"/>
      <c r="H252" s="266">
        <v>323</v>
      </c>
      <c r="I252" s="256" t="s">
        <v>36</v>
      </c>
      <c r="J252" s="112">
        <v>11</v>
      </c>
      <c r="K252" s="257">
        <f t="shared" ref="K252:L252" si="50">K254</f>
        <v>7030000</v>
      </c>
      <c r="L252" s="258">
        <f t="shared" si="50"/>
        <v>11030000</v>
      </c>
      <c r="N252" s="413"/>
    </row>
    <row r="253" spans="2:14" ht="15" customHeight="1" x14ac:dyDescent="0.25">
      <c r="B253" s="259" t="s">
        <v>3</v>
      </c>
      <c r="C253" s="260" t="s">
        <v>130</v>
      </c>
      <c r="D253" s="264"/>
      <c r="E253" s="265"/>
      <c r="F253" s="265"/>
      <c r="G253" s="266"/>
      <c r="H253" s="266">
        <v>422</v>
      </c>
      <c r="I253" s="256" t="s">
        <v>94</v>
      </c>
      <c r="J253" s="112">
        <v>11</v>
      </c>
      <c r="K253" s="257">
        <f>K255+K256+K257+K258</f>
        <v>1080000</v>
      </c>
      <c r="L253" s="258">
        <f>L255+L256+L257+L258</f>
        <v>1980000</v>
      </c>
    </row>
    <row r="254" spans="2:14" x14ac:dyDescent="0.25">
      <c r="B254" s="7" t="s">
        <v>3</v>
      </c>
      <c r="C254" s="8" t="s">
        <v>130</v>
      </c>
      <c r="D254" s="22">
        <v>3</v>
      </c>
      <c r="E254" s="23">
        <v>2</v>
      </c>
      <c r="F254" s="23">
        <v>3</v>
      </c>
      <c r="G254" s="23">
        <v>2</v>
      </c>
      <c r="H254" s="11">
        <v>323</v>
      </c>
      <c r="I254" s="24" t="s">
        <v>132</v>
      </c>
      <c r="J254" s="112">
        <v>11</v>
      </c>
      <c r="K254" s="217">
        <f>4630000+1500000+1000000-100000</f>
        <v>7030000</v>
      </c>
      <c r="L254" s="217">
        <v>11030000</v>
      </c>
    </row>
    <row r="255" spans="2:14" x14ac:dyDescent="0.25">
      <c r="B255" s="7" t="s">
        <v>3</v>
      </c>
      <c r="C255" s="8" t="s">
        <v>130</v>
      </c>
      <c r="D255" s="9">
        <v>4</v>
      </c>
      <c r="E255" s="10">
        <v>2</v>
      </c>
      <c r="F255" s="10">
        <v>2</v>
      </c>
      <c r="G255" s="10">
        <v>1</v>
      </c>
      <c r="H255" s="13">
        <v>422</v>
      </c>
      <c r="I255" s="12" t="s">
        <v>95</v>
      </c>
      <c r="J255" s="112">
        <v>11</v>
      </c>
      <c r="K255" s="217">
        <f>150000+200000</f>
        <v>350000</v>
      </c>
      <c r="L255" s="217">
        <v>850000</v>
      </c>
    </row>
    <row r="256" spans="2:14" ht="15" customHeight="1" x14ac:dyDescent="0.25">
      <c r="B256" s="7" t="s">
        <v>3</v>
      </c>
      <c r="C256" s="8" t="s">
        <v>130</v>
      </c>
      <c r="D256" s="8">
        <v>4</v>
      </c>
      <c r="E256" s="1">
        <v>2</v>
      </c>
      <c r="F256" s="1">
        <v>2</v>
      </c>
      <c r="G256" s="1">
        <v>2</v>
      </c>
      <c r="H256" s="13">
        <v>422</v>
      </c>
      <c r="I256" s="12" t="s">
        <v>122</v>
      </c>
      <c r="J256" s="112">
        <v>11</v>
      </c>
      <c r="K256" s="217">
        <f>100000+70000-50000</f>
        <v>120000</v>
      </c>
      <c r="L256" s="217">
        <v>120000</v>
      </c>
    </row>
    <row r="257" spans="2:14" x14ac:dyDescent="0.25">
      <c r="B257" s="7" t="s">
        <v>3</v>
      </c>
      <c r="C257" s="8" t="s">
        <v>130</v>
      </c>
      <c r="D257" s="8">
        <v>4</v>
      </c>
      <c r="E257" s="1">
        <v>2</v>
      </c>
      <c r="F257" s="1">
        <v>2</v>
      </c>
      <c r="G257" s="1">
        <v>3</v>
      </c>
      <c r="H257" s="13">
        <v>422</v>
      </c>
      <c r="I257" s="12" t="s">
        <v>133</v>
      </c>
      <c r="J257" s="112">
        <v>11</v>
      </c>
      <c r="K257" s="217">
        <f>500000+70000</f>
        <v>570000</v>
      </c>
      <c r="L257" s="217">
        <v>970000</v>
      </c>
    </row>
    <row r="258" spans="2:14" ht="15" customHeight="1" x14ac:dyDescent="0.25">
      <c r="B258" s="7" t="s">
        <v>3</v>
      </c>
      <c r="C258" s="8" t="s">
        <v>130</v>
      </c>
      <c r="D258" s="14">
        <v>4</v>
      </c>
      <c r="E258" s="15">
        <v>2</v>
      </c>
      <c r="F258" s="15">
        <v>2</v>
      </c>
      <c r="G258" s="15">
        <v>7</v>
      </c>
      <c r="H258" s="26">
        <v>422</v>
      </c>
      <c r="I258" s="12" t="s">
        <v>96</v>
      </c>
      <c r="J258" s="112">
        <v>11</v>
      </c>
      <c r="K258" s="217">
        <f>50000+5000-15000</f>
        <v>40000</v>
      </c>
      <c r="L258" s="217">
        <v>40000</v>
      </c>
    </row>
    <row r="259" spans="2:14" ht="15" customHeight="1" x14ac:dyDescent="0.25">
      <c r="B259" s="29" t="s">
        <v>3</v>
      </c>
      <c r="C259" s="30" t="s">
        <v>130</v>
      </c>
      <c r="D259" s="30"/>
      <c r="E259" s="31"/>
      <c r="F259" s="31"/>
      <c r="G259" s="31"/>
      <c r="H259" s="32" t="s">
        <v>4</v>
      </c>
      <c r="I259" s="43" t="s">
        <v>131</v>
      </c>
      <c r="J259" s="101">
        <v>61</v>
      </c>
      <c r="K259" s="166">
        <f>SUM(K264:K265)</f>
        <v>300000</v>
      </c>
      <c r="L259" s="129">
        <f>SUM(L264:L265)</f>
        <v>284095</v>
      </c>
    </row>
    <row r="260" spans="2:14" ht="15" customHeight="1" x14ac:dyDescent="0.25">
      <c r="B260" s="351" t="s">
        <v>3</v>
      </c>
      <c r="C260" s="352" t="s">
        <v>130</v>
      </c>
      <c r="D260" s="359"/>
      <c r="E260" s="360"/>
      <c r="F260" s="360"/>
      <c r="G260" s="354"/>
      <c r="H260" s="361">
        <v>32</v>
      </c>
      <c r="I260" s="355" t="s">
        <v>27</v>
      </c>
      <c r="J260" s="101">
        <v>61</v>
      </c>
      <c r="K260" s="356">
        <f t="shared" ref="K260" si="51">K262</f>
        <v>250000</v>
      </c>
      <c r="L260" s="357">
        <f t="shared" ref="L260" si="52">L262</f>
        <v>278000</v>
      </c>
    </row>
    <row r="261" spans="2:14" ht="25.5" x14ac:dyDescent="0.25">
      <c r="B261" s="351" t="s">
        <v>3</v>
      </c>
      <c r="C261" s="352" t="s">
        <v>130</v>
      </c>
      <c r="D261" s="359"/>
      <c r="E261" s="360"/>
      <c r="F261" s="360"/>
      <c r="G261" s="354"/>
      <c r="H261" s="361">
        <v>42</v>
      </c>
      <c r="I261" s="355" t="s">
        <v>30</v>
      </c>
      <c r="J261" s="101">
        <v>61</v>
      </c>
      <c r="K261" s="356">
        <f>K265</f>
        <v>50000</v>
      </c>
      <c r="L261" s="357">
        <f>L265</f>
        <v>6095</v>
      </c>
    </row>
    <row r="262" spans="2:14" ht="15" customHeight="1" x14ac:dyDescent="0.25">
      <c r="B262" s="259" t="s">
        <v>3</v>
      </c>
      <c r="C262" s="260" t="s">
        <v>130</v>
      </c>
      <c r="D262" s="264"/>
      <c r="E262" s="265"/>
      <c r="F262" s="265"/>
      <c r="G262" s="255"/>
      <c r="H262" s="266">
        <v>323</v>
      </c>
      <c r="I262" s="256" t="s">
        <v>36</v>
      </c>
      <c r="J262" s="101">
        <v>61</v>
      </c>
      <c r="K262" s="257">
        <f>K264</f>
        <v>250000</v>
      </c>
      <c r="L262" s="258">
        <f>L264</f>
        <v>278000</v>
      </c>
    </row>
    <row r="263" spans="2:14" ht="15" customHeight="1" x14ac:dyDescent="0.25">
      <c r="B263" s="259" t="s">
        <v>3</v>
      </c>
      <c r="C263" s="260" t="s">
        <v>130</v>
      </c>
      <c r="D263" s="264"/>
      <c r="E263" s="265"/>
      <c r="F263" s="265"/>
      <c r="G263" s="266"/>
      <c r="H263" s="266">
        <v>422</v>
      </c>
      <c r="I263" s="256" t="s">
        <v>94</v>
      </c>
      <c r="J263" s="101">
        <v>61</v>
      </c>
      <c r="K263" s="257">
        <f>K265</f>
        <v>50000</v>
      </c>
      <c r="L263" s="258">
        <f>L265</f>
        <v>6095</v>
      </c>
    </row>
    <row r="264" spans="2:14" x14ac:dyDescent="0.25">
      <c r="B264" s="7" t="s">
        <v>3</v>
      </c>
      <c r="C264" s="8" t="s">
        <v>130</v>
      </c>
      <c r="D264" s="22">
        <v>3</v>
      </c>
      <c r="E264" s="23">
        <v>2</v>
      </c>
      <c r="F264" s="23">
        <v>3</v>
      </c>
      <c r="G264" s="23">
        <v>2</v>
      </c>
      <c r="H264" s="11">
        <v>323</v>
      </c>
      <c r="I264" s="24" t="s">
        <v>132</v>
      </c>
      <c r="J264" s="101">
        <v>61</v>
      </c>
      <c r="K264" s="217">
        <v>250000</v>
      </c>
      <c r="L264" s="217">
        <v>278000</v>
      </c>
    </row>
    <row r="265" spans="2:14" x14ac:dyDescent="0.25">
      <c r="B265" s="7" t="s">
        <v>3</v>
      </c>
      <c r="C265" s="8" t="s">
        <v>130</v>
      </c>
      <c r="D265" s="8">
        <v>4</v>
      </c>
      <c r="E265" s="1">
        <v>2</v>
      </c>
      <c r="F265" s="1">
        <v>2</v>
      </c>
      <c r="G265" s="25">
        <v>1</v>
      </c>
      <c r="H265" s="13">
        <v>422</v>
      </c>
      <c r="I265" s="12" t="s">
        <v>95</v>
      </c>
      <c r="J265" s="101">
        <v>61</v>
      </c>
      <c r="K265" s="217">
        <v>50000</v>
      </c>
      <c r="L265" s="217">
        <v>6095</v>
      </c>
    </row>
    <row r="266" spans="2:14" ht="15" customHeight="1" x14ac:dyDescent="0.25">
      <c r="B266" s="29" t="s">
        <v>3</v>
      </c>
      <c r="C266" s="30" t="s">
        <v>134</v>
      </c>
      <c r="D266" s="30"/>
      <c r="E266" s="31"/>
      <c r="F266" s="31"/>
      <c r="G266" s="31"/>
      <c r="H266" s="32" t="s">
        <v>4</v>
      </c>
      <c r="I266" s="49" t="s">
        <v>135</v>
      </c>
      <c r="J266" s="111">
        <v>11</v>
      </c>
      <c r="K266" s="166">
        <f>SUM(K276:K284)</f>
        <v>19170000</v>
      </c>
      <c r="L266" s="129">
        <f>SUM(L276:L284)</f>
        <v>22502250</v>
      </c>
    </row>
    <row r="267" spans="2:14" ht="15" customHeight="1" x14ac:dyDescent="0.25">
      <c r="B267" s="351" t="s">
        <v>3</v>
      </c>
      <c r="C267" s="352" t="s">
        <v>134</v>
      </c>
      <c r="D267" s="359"/>
      <c r="E267" s="360"/>
      <c r="F267" s="360"/>
      <c r="G267" s="354"/>
      <c r="H267" s="361">
        <v>32</v>
      </c>
      <c r="I267" s="355" t="s">
        <v>27</v>
      </c>
      <c r="J267" s="111">
        <v>11</v>
      </c>
      <c r="K267" s="356">
        <f>K271</f>
        <v>0</v>
      </c>
      <c r="L267" s="357">
        <f>L271</f>
        <v>170000</v>
      </c>
    </row>
    <row r="268" spans="2:14" ht="15" customHeight="1" x14ac:dyDescent="0.25">
      <c r="B268" s="351" t="s">
        <v>3</v>
      </c>
      <c r="C268" s="352" t="s">
        <v>134</v>
      </c>
      <c r="D268" s="359"/>
      <c r="E268" s="360"/>
      <c r="F268" s="360"/>
      <c r="G268" s="354"/>
      <c r="H268" s="361">
        <v>32</v>
      </c>
      <c r="I268" s="355" t="s">
        <v>27</v>
      </c>
      <c r="J268" s="111">
        <v>11</v>
      </c>
      <c r="K268" s="356">
        <f t="shared" ref="K268:L268" si="53">K272</f>
        <v>10500000</v>
      </c>
      <c r="L268" s="357">
        <f t="shared" si="53"/>
        <v>9705000</v>
      </c>
    </row>
    <row r="269" spans="2:14" ht="25.5" x14ac:dyDescent="0.25">
      <c r="B269" s="351" t="s">
        <v>3</v>
      </c>
      <c r="C269" s="352" t="s">
        <v>134</v>
      </c>
      <c r="D269" s="359"/>
      <c r="E269" s="360"/>
      <c r="F269" s="360"/>
      <c r="G269" s="354"/>
      <c r="H269" s="361">
        <v>41</v>
      </c>
      <c r="I269" s="355" t="s">
        <v>99</v>
      </c>
      <c r="J269" s="111">
        <v>11</v>
      </c>
      <c r="K269" s="356">
        <f t="shared" ref="K269:L269" si="54">K273</f>
        <v>700000</v>
      </c>
      <c r="L269" s="357">
        <f t="shared" si="54"/>
        <v>1200000</v>
      </c>
      <c r="N269" s="413"/>
    </row>
    <row r="270" spans="2:14" ht="25.5" x14ac:dyDescent="0.25">
      <c r="B270" s="351" t="s">
        <v>3</v>
      </c>
      <c r="C270" s="352" t="s">
        <v>134</v>
      </c>
      <c r="D270" s="359"/>
      <c r="E270" s="360"/>
      <c r="F270" s="360"/>
      <c r="G270" s="354"/>
      <c r="H270" s="361">
        <v>42</v>
      </c>
      <c r="I270" s="355" t="s">
        <v>30</v>
      </c>
      <c r="J270" s="111">
        <v>11</v>
      </c>
      <c r="K270" s="356">
        <f t="shared" ref="K270:L270" si="55">K274+K275</f>
        <v>7970000</v>
      </c>
      <c r="L270" s="357">
        <f t="shared" si="55"/>
        <v>11427250</v>
      </c>
      <c r="N270" s="413"/>
    </row>
    <row r="271" spans="2:14" ht="15" customHeight="1" x14ac:dyDescent="0.25">
      <c r="B271" s="259" t="s">
        <v>3</v>
      </c>
      <c r="C271" s="260" t="s">
        <v>134</v>
      </c>
      <c r="D271" s="264"/>
      <c r="E271" s="265"/>
      <c r="F271" s="265"/>
      <c r="G271" s="255"/>
      <c r="H271" s="266">
        <v>322</v>
      </c>
      <c r="I271" s="287" t="s">
        <v>35</v>
      </c>
      <c r="J271" s="112">
        <v>11</v>
      </c>
      <c r="K271" s="257">
        <f>K276+K277</f>
        <v>0</v>
      </c>
      <c r="L271" s="258">
        <f>L276+L277</f>
        <v>170000</v>
      </c>
    </row>
    <row r="272" spans="2:14" ht="15" customHeight="1" x14ac:dyDescent="0.25">
      <c r="B272" s="259" t="s">
        <v>3</v>
      </c>
      <c r="C272" s="260" t="s">
        <v>134</v>
      </c>
      <c r="D272" s="264"/>
      <c r="E272" s="265"/>
      <c r="F272" s="265"/>
      <c r="G272" s="255"/>
      <c r="H272" s="266">
        <v>323</v>
      </c>
      <c r="I272" s="287" t="s">
        <v>36</v>
      </c>
      <c r="J272" s="112">
        <v>11</v>
      </c>
      <c r="K272" s="257">
        <f>K278+K279+K280</f>
        <v>10500000</v>
      </c>
      <c r="L272" s="258">
        <f>L278+L279+L280</f>
        <v>9705000</v>
      </c>
    </row>
    <row r="273" spans="2:13" ht="15" customHeight="1" x14ac:dyDescent="0.25">
      <c r="B273" s="259" t="s">
        <v>3</v>
      </c>
      <c r="C273" s="260" t="s">
        <v>134</v>
      </c>
      <c r="D273" s="264"/>
      <c r="E273" s="265"/>
      <c r="F273" s="265"/>
      <c r="G273" s="266"/>
      <c r="H273" s="266">
        <v>412</v>
      </c>
      <c r="I273" s="287" t="s">
        <v>100</v>
      </c>
      <c r="J273" s="112">
        <v>11</v>
      </c>
      <c r="K273" s="257">
        <f t="shared" ref="K273:L273" si="56">K281</f>
        <v>700000</v>
      </c>
      <c r="L273" s="258">
        <f t="shared" si="56"/>
        <v>1200000</v>
      </c>
    </row>
    <row r="274" spans="2:13" x14ac:dyDescent="0.25">
      <c r="B274" s="259" t="s">
        <v>3</v>
      </c>
      <c r="C274" s="260" t="s">
        <v>134</v>
      </c>
      <c r="D274" s="264"/>
      <c r="E274" s="265"/>
      <c r="F274" s="265"/>
      <c r="G274" s="266"/>
      <c r="H274" s="266">
        <v>422</v>
      </c>
      <c r="I274" s="287" t="s">
        <v>94</v>
      </c>
      <c r="J274" s="112">
        <v>11</v>
      </c>
      <c r="K274" s="257">
        <f>K282+K283</f>
        <v>650000</v>
      </c>
      <c r="L274" s="258">
        <f>L282+L283</f>
        <v>1305000</v>
      </c>
    </row>
    <row r="275" spans="2:13" x14ac:dyDescent="0.25">
      <c r="B275" s="259" t="s">
        <v>3</v>
      </c>
      <c r="C275" s="260" t="s">
        <v>134</v>
      </c>
      <c r="D275" s="264"/>
      <c r="E275" s="265"/>
      <c r="F275" s="265"/>
      <c r="G275" s="266"/>
      <c r="H275" s="266">
        <v>426</v>
      </c>
      <c r="I275" s="287" t="s">
        <v>77</v>
      </c>
      <c r="J275" s="112">
        <v>11</v>
      </c>
      <c r="K275" s="257">
        <f t="shared" ref="K275:L275" si="57">K284</f>
        <v>7320000</v>
      </c>
      <c r="L275" s="258">
        <f t="shared" si="57"/>
        <v>10122250</v>
      </c>
    </row>
    <row r="276" spans="2:13" x14ac:dyDescent="0.25">
      <c r="B276" s="16" t="s">
        <v>3</v>
      </c>
      <c r="C276" s="17" t="s">
        <v>134</v>
      </c>
      <c r="D276" s="155">
        <v>3</v>
      </c>
      <c r="E276" s="180">
        <v>2</v>
      </c>
      <c r="F276" s="180">
        <v>2</v>
      </c>
      <c r="G276" s="180">
        <v>4</v>
      </c>
      <c r="H276" s="176">
        <v>322</v>
      </c>
      <c r="I276" s="430" t="s">
        <v>53</v>
      </c>
      <c r="J276" s="113">
        <v>11</v>
      </c>
      <c r="K276" s="217">
        <v>0</v>
      </c>
      <c r="L276" s="217">
        <v>85000</v>
      </c>
    </row>
    <row r="277" spans="2:13" x14ac:dyDescent="0.25">
      <c r="B277" s="16" t="s">
        <v>3</v>
      </c>
      <c r="C277" s="17" t="s">
        <v>134</v>
      </c>
      <c r="D277" s="155">
        <v>3</v>
      </c>
      <c r="E277" s="180">
        <v>2</v>
      </c>
      <c r="F277" s="180">
        <v>2</v>
      </c>
      <c r="G277" s="180">
        <v>5</v>
      </c>
      <c r="H277" s="176">
        <v>322</v>
      </c>
      <c r="I277" s="430" t="s">
        <v>54</v>
      </c>
      <c r="J277" s="113">
        <v>11</v>
      </c>
      <c r="K277" s="217">
        <v>0</v>
      </c>
      <c r="L277" s="217">
        <v>85000</v>
      </c>
    </row>
    <row r="278" spans="2:13" x14ac:dyDescent="0.25">
      <c r="B278" s="7" t="s">
        <v>3</v>
      </c>
      <c r="C278" s="8" t="s">
        <v>134</v>
      </c>
      <c r="D278" s="22">
        <v>3</v>
      </c>
      <c r="E278" s="23">
        <v>2</v>
      </c>
      <c r="F278" s="23">
        <v>3</v>
      </c>
      <c r="G278" s="23">
        <v>2</v>
      </c>
      <c r="H278" s="11">
        <v>323</v>
      </c>
      <c r="I278" s="24" t="s">
        <v>132</v>
      </c>
      <c r="J278" s="112">
        <v>11</v>
      </c>
      <c r="K278" s="217">
        <v>5000000</v>
      </c>
      <c r="L278" s="217">
        <v>4500000</v>
      </c>
    </row>
    <row r="279" spans="2:13" ht="15" customHeight="1" x14ac:dyDescent="0.25">
      <c r="B279" s="7" t="s">
        <v>3</v>
      </c>
      <c r="C279" s="8" t="s">
        <v>134</v>
      </c>
      <c r="D279" s="9">
        <v>3</v>
      </c>
      <c r="E279" s="10">
        <v>2</v>
      </c>
      <c r="F279" s="10">
        <v>3</v>
      </c>
      <c r="G279" s="10">
        <v>5</v>
      </c>
      <c r="H279" s="13">
        <v>323</v>
      </c>
      <c r="I279" s="50" t="s">
        <v>59</v>
      </c>
      <c r="J279" s="112">
        <v>11</v>
      </c>
      <c r="K279" s="217">
        <v>1300000</v>
      </c>
      <c r="L279" s="217">
        <v>1300000</v>
      </c>
    </row>
    <row r="280" spans="2:13" x14ac:dyDescent="0.25">
      <c r="B280" s="7" t="s">
        <v>3</v>
      </c>
      <c r="C280" s="8" t="s">
        <v>134</v>
      </c>
      <c r="D280" s="8">
        <v>3</v>
      </c>
      <c r="E280" s="1">
        <v>2</v>
      </c>
      <c r="F280" s="1">
        <v>3</v>
      </c>
      <c r="G280" s="1">
        <v>8</v>
      </c>
      <c r="H280" s="13">
        <v>323</v>
      </c>
      <c r="I280" s="12" t="s">
        <v>85</v>
      </c>
      <c r="J280" s="112">
        <v>11</v>
      </c>
      <c r="K280" s="217">
        <f>3600000+600000</f>
        <v>4200000</v>
      </c>
      <c r="L280" s="217">
        <v>3905000</v>
      </c>
    </row>
    <row r="281" spans="2:13" ht="15" customHeight="1" x14ac:dyDescent="0.25">
      <c r="B281" s="7" t="s">
        <v>3</v>
      </c>
      <c r="C281" s="8" t="s">
        <v>134</v>
      </c>
      <c r="D281" s="8">
        <v>4</v>
      </c>
      <c r="E281" s="1">
        <v>1</v>
      </c>
      <c r="F281" s="1">
        <v>2</v>
      </c>
      <c r="G281" s="1">
        <v>3</v>
      </c>
      <c r="H281" s="38">
        <v>412</v>
      </c>
      <c r="I281" s="12" t="s">
        <v>101</v>
      </c>
      <c r="J281" s="112">
        <v>11</v>
      </c>
      <c r="K281" s="217">
        <f>100000+600000</f>
        <v>700000</v>
      </c>
      <c r="L281" s="217">
        <v>1200000</v>
      </c>
    </row>
    <row r="282" spans="2:13" ht="15" customHeight="1" x14ac:dyDescent="0.25">
      <c r="B282" s="7" t="s">
        <v>3</v>
      </c>
      <c r="C282" s="8" t="s">
        <v>134</v>
      </c>
      <c r="D282" s="8">
        <v>4</v>
      </c>
      <c r="E282" s="1">
        <v>2</v>
      </c>
      <c r="F282" s="1">
        <v>2</v>
      </c>
      <c r="G282" s="1">
        <v>1</v>
      </c>
      <c r="H282" s="13">
        <v>422</v>
      </c>
      <c r="I282" s="12" t="s">
        <v>95</v>
      </c>
      <c r="J282" s="112">
        <v>11</v>
      </c>
      <c r="K282" s="217">
        <f>650000</f>
        <v>650000</v>
      </c>
      <c r="L282" s="217">
        <v>1055000</v>
      </c>
    </row>
    <row r="283" spans="2:13" ht="15" customHeight="1" x14ac:dyDescent="0.25">
      <c r="B283" s="16" t="s">
        <v>3</v>
      </c>
      <c r="C283" s="17" t="s">
        <v>134</v>
      </c>
      <c r="D283" s="17">
        <v>4</v>
      </c>
      <c r="E283" s="146">
        <v>2</v>
      </c>
      <c r="F283" s="146">
        <v>2</v>
      </c>
      <c r="G283" s="146">
        <v>2</v>
      </c>
      <c r="H283" s="20">
        <v>422</v>
      </c>
      <c r="I283" s="431" t="s">
        <v>122</v>
      </c>
      <c r="J283" s="113">
        <v>11</v>
      </c>
      <c r="K283" s="217">
        <v>0</v>
      </c>
      <c r="L283" s="217">
        <v>250000</v>
      </c>
    </row>
    <row r="284" spans="2:13" x14ac:dyDescent="0.25">
      <c r="B284" s="7" t="s">
        <v>3</v>
      </c>
      <c r="C284" s="8" t="s">
        <v>134</v>
      </c>
      <c r="D284" s="14">
        <v>4</v>
      </c>
      <c r="E284" s="15">
        <v>2</v>
      </c>
      <c r="F284" s="15">
        <v>6</v>
      </c>
      <c r="G284" s="51">
        <v>2</v>
      </c>
      <c r="H284" s="26">
        <v>426</v>
      </c>
      <c r="I284" s="12" t="s">
        <v>79</v>
      </c>
      <c r="J284" s="112">
        <v>11</v>
      </c>
      <c r="K284" s="217">
        <f>11320000+300000-4300000</f>
        <v>7320000</v>
      </c>
      <c r="L284" s="217">
        <v>10122250</v>
      </c>
      <c r="M284" s="413"/>
    </row>
    <row r="285" spans="2:13" ht="25.5" x14ac:dyDescent="0.25">
      <c r="B285" s="172" t="s">
        <v>15</v>
      </c>
      <c r="C285" s="169" t="s">
        <v>136</v>
      </c>
      <c r="D285" s="169"/>
      <c r="E285" s="170"/>
      <c r="F285" s="170"/>
      <c r="G285" s="171"/>
      <c r="H285" s="171" t="s">
        <v>4</v>
      </c>
      <c r="I285" s="173" t="s">
        <v>137</v>
      </c>
      <c r="J285" s="116">
        <v>52</v>
      </c>
      <c r="K285" s="238">
        <f>SUM(K292:K295)</f>
        <v>225000</v>
      </c>
      <c r="L285" s="442">
        <f>SUM(L292:L295)</f>
        <v>225000</v>
      </c>
    </row>
    <row r="286" spans="2:13" x14ac:dyDescent="0.25">
      <c r="B286" s="364" t="s">
        <v>15</v>
      </c>
      <c r="C286" s="365" t="s">
        <v>136</v>
      </c>
      <c r="D286" s="366"/>
      <c r="E286" s="367"/>
      <c r="F286" s="367"/>
      <c r="G286" s="369"/>
      <c r="H286" s="370">
        <v>31</v>
      </c>
      <c r="I286" s="355" t="s">
        <v>26</v>
      </c>
      <c r="J286" s="116">
        <v>52</v>
      </c>
      <c r="K286" s="377">
        <f t="shared" ref="K286:L286" si="58">K288</f>
        <v>40000</v>
      </c>
      <c r="L286" s="378">
        <f t="shared" si="58"/>
        <v>40000</v>
      </c>
    </row>
    <row r="287" spans="2:13" x14ac:dyDescent="0.25">
      <c r="B287" s="364" t="s">
        <v>15</v>
      </c>
      <c r="C287" s="365" t="s">
        <v>136</v>
      </c>
      <c r="D287" s="366"/>
      <c r="E287" s="367"/>
      <c r="F287" s="367"/>
      <c r="G287" s="369"/>
      <c r="H287" s="370">
        <v>32</v>
      </c>
      <c r="I287" s="355" t="s">
        <v>27</v>
      </c>
      <c r="J287" s="116">
        <v>52</v>
      </c>
      <c r="K287" s="377">
        <f>K289+K290+K291</f>
        <v>185000</v>
      </c>
      <c r="L287" s="378">
        <f>L289+L290+L291</f>
        <v>185000</v>
      </c>
    </row>
    <row r="288" spans="2:13" x14ac:dyDescent="0.25">
      <c r="B288" s="284" t="s">
        <v>15</v>
      </c>
      <c r="C288" s="260" t="s">
        <v>136</v>
      </c>
      <c r="D288" s="273"/>
      <c r="E288" s="274"/>
      <c r="F288" s="274"/>
      <c r="G288" s="275"/>
      <c r="H288" s="276">
        <v>311</v>
      </c>
      <c r="I288" s="288" t="s">
        <v>138</v>
      </c>
      <c r="J288" s="226">
        <v>52</v>
      </c>
      <c r="K288" s="267">
        <f>K292</f>
        <v>40000</v>
      </c>
      <c r="L288" s="268">
        <f>L292</f>
        <v>40000</v>
      </c>
    </row>
    <row r="289" spans="2:14" ht="15" customHeight="1" x14ac:dyDescent="0.25">
      <c r="B289" s="284" t="s">
        <v>15</v>
      </c>
      <c r="C289" s="260" t="s">
        <v>136</v>
      </c>
      <c r="D289" s="273"/>
      <c r="E289" s="274"/>
      <c r="F289" s="274"/>
      <c r="G289" s="275"/>
      <c r="H289" s="276">
        <v>321</v>
      </c>
      <c r="I289" s="288" t="s">
        <v>34</v>
      </c>
      <c r="J289" s="226">
        <v>52</v>
      </c>
      <c r="K289" s="267">
        <f>K293</f>
        <v>50000</v>
      </c>
      <c r="L289" s="268">
        <f>L293</f>
        <v>50000</v>
      </c>
    </row>
    <row r="290" spans="2:14" ht="15" customHeight="1" x14ac:dyDescent="0.25">
      <c r="B290" s="284" t="s">
        <v>15</v>
      </c>
      <c r="C290" s="260" t="s">
        <v>136</v>
      </c>
      <c r="D290" s="273"/>
      <c r="E290" s="274"/>
      <c r="F290" s="274"/>
      <c r="G290" s="275"/>
      <c r="H290" s="276">
        <v>323</v>
      </c>
      <c r="I290" s="288" t="s">
        <v>36</v>
      </c>
      <c r="J290" s="226">
        <v>52</v>
      </c>
      <c r="K290" s="267">
        <f t="shared" ref="K290:L291" si="59">K294</f>
        <v>60000</v>
      </c>
      <c r="L290" s="268">
        <f t="shared" si="59"/>
        <v>60000</v>
      </c>
    </row>
    <row r="291" spans="2:14" ht="15" customHeight="1" x14ac:dyDescent="0.25">
      <c r="B291" s="284" t="s">
        <v>15</v>
      </c>
      <c r="C291" s="260" t="s">
        <v>136</v>
      </c>
      <c r="D291" s="273"/>
      <c r="E291" s="274"/>
      <c r="F291" s="274"/>
      <c r="G291" s="275"/>
      <c r="H291" s="276">
        <v>324</v>
      </c>
      <c r="I291" s="288" t="s">
        <v>37</v>
      </c>
      <c r="J291" s="226">
        <v>52</v>
      </c>
      <c r="K291" s="267">
        <f t="shared" si="59"/>
        <v>75000</v>
      </c>
      <c r="L291" s="268">
        <f t="shared" si="59"/>
        <v>75000</v>
      </c>
    </row>
    <row r="292" spans="2:14" ht="15" customHeight="1" x14ac:dyDescent="0.25">
      <c r="B292" s="53" t="s">
        <v>15</v>
      </c>
      <c r="C292" s="8" t="s">
        <v>136</v>
      </c>
      <c r="D292" s="54">
        <v>3</v>
      </c>
      <c r="E292" s="55">
        <v>1</v>
      </c>
      <c r="F292" s="55">
        <v>1</v>
      </c>
      <c r="G292" s="55">
        <v>1</v>
      </c>
      <c r="H292" s="11">
        <v>311</v>
      </c>
      <c r="I292" s="56" t="s">
        <v>42</v>
      </c>
      <c r="J292" s="226">
        <v>52</v>
      </c>
      <c r="K292" s="201">
        <v>40000</v>
      </c>
      <c r="L292" s="217">
        <v>40000</v>
      </c>
    </row>
    <row r="293" spans="2:14" ht="15" customHeight="1" x14ac:dyDescent="0.25">
      <c r="B293" s="53" t="s">
        <v>15</v>
      </c>
      <c r="C293" s="8" t="s">
        <v>136</v>
      </c>
      <c r="D293" s="54">
        <v>3</v>
      </c>
      <c r="E293" s="55">
        <v>2</v>
      </c>
      <c r="F293" s="55">
        <v>1</v>
      </c>
      <c r="G293" s="55">
        <v>1</v>
      </c>
      <c r="H293" s="11">
        <v>321</v>
      </c>
      <c r="I293" s="56" t="s">
        <v>46</v>
      </c>
      <c r="J293" s="226">
        <v>52</v>
      </c>
      <c r="K293" s="201">
        <v>50000</v>
      </c>
      <c r="L293" s="217">
        <v>50000</v>
      </c>
    </row>
    <row r="294" spans="2:14" x14ac:dyDescent="0.25">
      <c r="B294" s="66" t="s">
        <v>15</v>
      </c>
      <c r="C294" s="62" t="s">
        <v>136</v>
      </c>
      <c r="D294" s="63">
        <v>3</v>
      </c>
      <c r="E294" s="64">
        <v>2</v>
      </c>
      <c r="F294" s="64">
        <v>3</v>
      </c>
      <c r="G294" s="64">
        <v>7</v>
      </c>
      <c r="H294" s="11">
        <v>323</v>
      </c>
      <c r="I294" s="24" t="s">
        <v>61</v>
      </c>
      <c r="J294" s="226">
        <v>52</v>
      </c>
      <c r="K294" s="201">
        <v>60000</v>
      </c>
      <c r="L294" s="217">
        <v>60000</v>
      </c>
    </row>
    <row r="295" spans="2:14" x14ac:dyDescent="0.25">
      <c r="B295" s="66" t="s">
        <v>15</v>
      </c>
      <c r="C295" s="62" t="s">
        <v>136</v>
      </c>
      <c r="D295" s="63">
        <v>3</v>
      </c>
      <c r="E295" s="64">
        <v>2</v>
      </c>
      <c r="F295" s="64">
        <v>4</v>
      </c>
      <c r="G295" s="64">
        <v>1</v>
      </c>
      <c r="H295" s="13">
        <v>324</v>
      </c>
      <c r="I295" s="140" t="s">
        <v>37</v>
      </c>
      <c r="J295" s="226">
        <v>52</v>
      </c>
      <c r="K295" s="201">
        <v>75000</v>
      </c>
      <c r="L295" s="217">
        <v>75000</v>
      </c>
    </row>
    <row r="296" spans="2:14" ht="15" customHeight="1" x14ac:dyDescent="0.25">
      <c r="B296" s="2" t="s">
        <v>23</v>
      </c>
      <c r="C296" s="3" t="s">
        <v>139</v>
      </c>
      <c r="D296" s="3"/>
      <c r="E296" s="4"/>
      <c r="F296" s="4"/>
      <c r="G296" s="4"/>
      <c r="H296" s="5" t="s">
        <v>4</v>
      </c>
      <c r="I296" s="6" t="s">
        <v>140</v>
      </c>
      <c r="J296" s="225">
        <v>43</v>
      </c>
      <c r="K296" s="236">
        <f>SUM(K303:K309)</f>
        <v>400000</v>
      </c>
      <c r="L296" s="349">
        <f>SUM(L303:L309)</f>
        <v>400000</v>
      </c>
    </row>
    <row r="297" spans="2:14" ht="15" customHeight="1" x14ac:dyDescent="0.25">
      <c r="B297" s="351" t="s">
        <v>23</v>
      </c>
      <c r="C297" s="352" t="s">
        <v>139</v>
      </c>
      <c r="D297" s="352"/>
      <c r="E297" s="353"/>
      <c r="F297" s="353"/>
      <c r="G297" s="354"/>
      <c r="H297" s="354">
        <v>32</v>
      </c>
      <c r="I297" s="355" t="s">
        <v>27</v>
      </c>
      <c r="J297" s="225">
        <v>43</v>
      </c>
      <c r="K297" s="377">
        <f t="shared" ref="K297:L297" si="60">K299+K300+K301</f>
        <v>370000</v>
      </c>
      <c r="L297" s="378">
        <f t="shared" si="60"/>
        <v>370000</v>
      </c>
    </row>
    <row r="298" spans="2:14" ht="25.5" x14ac:dyDescent="0.25">
      <c r="B298" s="351" t="s">
        <v>23</v>
      </c>
      <c r="C298" s="352" t="s">
        <v>139</v>
      </c>
      <c r="D298" s="352"/>
      <c r="E298" s="353"/>
      <c r="F298" s="353"/>
      <c r="G298" s="354"/>
      <c r="H298" s="354">
        <v>42</v>
      </c>
      <c r="I298" s="355" t="s">
        <v>30</v>
      </c>
      <c r="J298" s="225">
        <v>43</v>
      </c>
      <c r="K298" s="377">
        <f t="shared" ref="K298:L298" si="61">K302</f>
        <v>30000</v>
      </c>
      <c r="L298" s="378">
        <f t="shared" si="61"/>
        <v>30000</v>
      </c>
    </row>
    <row r="299" spans="2:14" ht="15" customHeight="1" x14ac:dyDescent="0.25">
      <c r="B299" s="259" t="s">
        <v>23</v>
      </c>
      <c r="C299" s="260" t="s">
        <v>139</v>
      </c>
      <c r="D299" s="253"/>
      <c r="E299" s="254"/>
      <c r="F299" s="254"/>
      <c r="G299" s="255"/>
      <c r="H299" s="255">
        <v>323</v>
      </c>
      <c r="I299" s="256" t="s">
        <v>36</v>
      </c>
      <c r="J299" s="119">
        <v>43</v>
      </c>
      <c r="K299" s="267">
        <f>K303+K304+K305+K306</f>
        <v>220000</v>
      </c>
      <c r="L299" s="268">
        <f>L303+L304+L305+L306</f>
        <v>220000</v>
      </c>
    </row>
    <row r="300" spans="2:14" ht="15" customHeight="1" x14ac:dyDescent="0.25">
      <c r="B300" s="259" t="s">
        <v>23</v>
      </c>
      <c r="C300" s="260" t="s">
        <v>139</v>
      </c>
      <c r="D300" s="253"/>
      <c r="E300" s="254"/>
      <c r="F300" s="254"/>
      <c r="G300" s="255"/>
      <c r="H300" s="255">
        <v>324</v>
      </c>
      <c r="I300" s="256" t="s">
        <v>37</v>
      </c>
      <c r="J300" s="119">
        <v>43</v>
      </c>
      <c r="K300" s="268">
        <f t="shared" ref="K300:L302" si="62">K307</f>
        <v>50000</v>
      </c>
      <c r="L300" s="268">
        <f t="shared" si="62"/>
        <v>50000</v>
      </c>
      <c r="N300" s="413"/>
    </row>
    <row r="301" spans="2:14" ht="15" customHeight="1" x14ac:dyDescent="0.25">
      <c r="B301" s="259" t="s">
        <v>23</v>
      </c>
      <c r="C301" s="260" t="s">
        <v>139</v>
      </c>
      <c r="D301" s="253"/>
      <c r="E301" s="254"/>
      <c r="F301" s="254"/>
      <c r="G301" s="255"/>
      <c r="H301" s="255">
        <v>329</v>
      </c>
      <c r="I301" s="256" t="s">
        <v>38</v>
      </c>
      <c r="J301" s="119">
        <v>43</v>
      </c>
      <c r="K301" s="267">
        <f t="shared" si="62"/>
        <v>100000</v>
      </c>
      <c r="L301" s="268">
        <f t="shared" si="62"/>
        <v>100000</v>
      </c>
    </row>
    <row r="302" spans="2:14" ht="15" customHeight="1" x14ac:dyDescent="0.25">
      <c r="B302" s="259" t="s">
        <v>23</v>
      </c>
      <c r="C302" s="260" t="s">
        <v>139</v>
      </c>
      <c r="D302" s="253"/>
      <c r="E302" s="254"/>
      <c r="F302" s="254"/>
      <c r="G302" s="255"/>
      <c r="H302" s="255">
        <v>426</v>
      </c>
      <c r="I302" s="256" t="s">
        <v>77</v>
      </c>
      <c r="J302" s="119">
        <v>43</v>
      </c>
      <c r="K302" s="267">
        <f t="shared" si="62"/>
        <v>30000</v>
      </c>
      <c r="L302" s="268">
        <f t="shared" si="62"/>
        <v>30000</v>
      </c>
    </row>
    <row r="303" spans="2:14" ht="15" customHeight="1" x14ac:dyDescent="0.25">
      <c r="B303" s="16" t="s">
        <v>23</v>
      </c>
      <c r="C303" s="17" t="s">
        <v>139</v>
      </c>
      <c r="D303" s="154">
        <v>3</v>
      </c>
      <c r="E303" s="162">
        <v>2</v>
      </c>
      <c r="F303" s="162">
        <v>3</v>
      </c>
      <c r="G303" s="163">
        <v>2</v>
      </c>
      <c r="H303" s="163">
        <v>323</v>
      </c>
      <c r="I303" s="194" t="s">
        <v>132</v>
      </c>
      <c r="J303" s="119">
        <v>43</v>
      </c>
      <c r="K303" s="201">
        <v>10000</v>
      </c>
      <c r="L303" s="217">
        <v>10000</v>
      </c>
    </row>
    <row r="304" spans="2:14" ht="15" customHeight="1" x14ac:dyDescent="0.25">
      <c r="B304" s="16" t="s">
        <v>23</v>
      </c>
      <c r="C304" s="17" t="s">
        <v>139</v>
      </c>
      <c r="D304" s="154">
        <v>3</v>
      </c>
      <c r="E304" s="162">
        <v>2</v>
      </c>
      <c r="F304" s="162">
        <v>3</v>
      </c>
      <c r="G304" s="163">
        <v>5</v>
      </c>
      <c r="H304" s="163">
        <v>323</v>
      </c>
      <c r="I304" s="194" t="s">
        <v>59</v>
      </c>
      <c r="J304" s="119">
        <v>43</v>
      </c>
      <c r="K304" s="201">
        <v>10000</v>
      </c>
      <c r="L304" s="217">
        <v>10000</v>
      </c>
    </row>
    <row r="305" spans="2:14" ht="15" customHeight="1" x14ac:dyDescent="0.25">
      <c r="B305" s="16" t="s">
        <v>23</v>
      </c>
      <c r="C305" s="17" t="s">
        <v>139</v>
      </c>
      <c r="D305" s="17">
        <v>3</v>
      </c>
      <c r="E305" s="146">
        <v>2</v>
      </c>
      <c r="F305" s="146">
        <v>3</v>
      </c>
      <c r="G305" s="147">
        <v>7</v>
      </c>
      <c r="H305" s="147">
        <v>323</v>
      </c>
      <c r="I305" s="52" t="s">
        <v>61</v>
      </c>
      <c r="J305" s="119">
        <v>43</v>
      </c>
      <c r="K305" s="201">
        <v>100000</v>
      </c>
      <c r="L305" s="217">
        <v>100000</v>
      </c>
    </row>
    <row r="306" spans="2:14" ht="14.25" customHeight="1" x14ac:dyDescent="0.25">
      <c r="B306" s="16" t="s">
        <v>23</v>
      </c>
      <c r="C306" s="17" t="s">
        <v>139</v>
      </c>
      <c r="D306" s="17">
        <v>3</v>
      </c>
      <c r="E306" s="146">
        <v>2</v>
      </c>
      <c r="F306" s="146">
        <v>3</v>
      </c>
      <c r="G306" s="147">
        <v>8</v>
      </c>
      <c r="H306" s="147">
        <v>323</v>
      </c>
      <c r="I306" s="164" t="s">
        <v>141</v>
      </c>
      <c r="J306" s="119">
        <v>43</v>
      </c>
      <c r="K306" s="201">
        <v>100000</v>
      </c>
      <c r="L306" s="217">
        <v>100000</v>
      </c>
    </row>
    <row r="307" spans="2:14" ht="14.25" customHeight="1" x14ac:dyDescent="0.25">
      <c r="B307" s="16" t="s">
        <v>23</v>
      </c>
      <c r="C307" s="17" t="s">
        <v>139</v>
      </c>
      <c r="D307" s="17">
        <v>3</v>
      </c>
      <c r="E307" s="146">
        <v>2</v>
      </c>
      <c r="F307" s="146">
        <v>4</v>
      </c>
      <c r="G307" s="147">
        <v>1</v>
      </c>
      <c r="H307" s="147">
        <v>324</v>
      </c>
      <c r="I307" s="164" t="s">
        <v>37</v>
      </c>
      <c r="J307" s="119">
        <v>43</v>
      </c>
      <c r="K307" s="201">
        <v>50000</v>
      </c>
      <c r="L307" s="217">
        <v>50000</v>
      </c>
    </row>
    <row r="308" spans="2:14" ht="18" customHeight="1" x14ac:dyDescent="0.25">
      <c r="B308" s="16" t="s">
        <v>23</v>
      </c>
      <c r="C308" s="17" t="s">
        <v>139</v>
      </c>
      <c r="D308" s="17">
        <v>3</v>
      </c>
      <c r="E308" s="146">
        <v>2</v>
      </c>
      <c r="F308" s="146">
        <v>9</v>
      </c>
      <c r="G308" s="147">
        <v>1</v>
      </c>
      <c r="H308" s="147">
        <v>329</v>
      </c>
      <c r="I308" s="164" t="s">
        <v>63</v>
      </c>
      <c r="J308" s="119">
        <v>43</v>
      </c>
      <c r="K308" s="201">
        <v>100000</v>
      </c>
      <c r="L308" s="217">
        <v>100000</v>
      </c>
    </row>
    <row r="309" spans="2:14" ht="15" customHeight="1" x14ac:dyDescent="0.25">
      <c r="B309" s="16" t="s">
        <v>23</v>
      </c>
      <c r="C309" s="17" t="s">
        <v>139</v>
      </c>
      <c r="D309" s="17">
        <v>4</v>
      </c>
      <c r="E309" s="146">
        <v>2</v>
      </c>
      <c r="F309" s="146">
        <v>6</v>
      </c>
      <c r="G309" s="147">
        <v>2</v>
      </c>
      <c r="H309" s="147">
        <v>426</v>
      </c>
      <c r="I309" s="164" t="s">
        <v>79</v>
      </c>
      <c r="J309" s="119">
        <v>43</v>
      </c>
      <c r="K309" s="201">
        <v>30000</v>
      </c>
      <c r="L309" s="217">
        <v>30000</v>
      </c>
    </row>
    <row r="310" spans="2:14" ht="15" customHeight="1" x14ac:dyDescent="0.25">
      <c r="B310" s="2" t="s">
        <v>23</v>
      </c>
      <c r="C310" s="3" t="s">
        <v>139</v>
      </c>
      <c r="D310" s="3"/>
      <c r="E310" s="4"/>
      <c r="F310" s="4"/>
      <c r="G310" s="4"/>
      <c r="H310" s="5" t="s">
        <v>4</v>
      </c>
      <c r="I310" s="6" t="s">
        <v>140</v>
      </c>
      <c r="J310" s="310">
        <v>11</v>
      </c>
      <c r="K310" s="236">
        <f>SUM(K314:K315)</f>
        <v>1595000</v>
      </c>
      <c r="L310" s="349">
        <f>SUM(L314:L315)</f>
        <v>1595000</v>
      </c>
    </row>
    <row r="311" spans="2:14" ht="15" customHeight="1" x14ac:dyDescent="0.25">
      <c r="B311" s="351" t="s">
        <v>23</v>
      </c>
      <c r="C311" s="352" t="s">
        <v>139</v>
      </c>
      <c r="D311" s="352"/>
      <c r="E311" s="353"/>
      <c r="F311" s="353"/>
      <c r="G311" s="354"/>
      <c r="H311" s="354">
        <v>32</v>
      </c>
      <c r="I311" s="355" t="s">
        <v>27</v>
      </c>
      <c r="J311" s="310">
        <v>11</v>
      </c>
      <c r="K311" s="377">
        <f t="shared" ref="K311:L311" si="63">K312+K313</f>
        <v>1595000</v>
      </c>
      <c r="L311" s="378">
        <f t="shared" si="63"/>
        <v>1595000</v>
      </c>
    </row>
    <row r="312" spans="2:14" ht="15" customHeight="1" x14ac:dyDescent="0.25">
      <c r="B312" s="259" t="s">
        <v>23</v>
      </c>
      <c r="C312" s="260" t="s">
        <v>139</v>
      </c>
      <c r="D312" s="253"/>
      <c r="E312" s="254"/>
      <c r="F312" s="254"/>
      <c r="G312" s="255"/>
      <c r="H312" s="255">
        <v>323</v>
      </c>
      <c r="I312" s="256" t="s">
        <v>36</v>
      </c>
      <c r="J312" s="310">
        <v>11</v>
      </c>
      <c r="K312" s="267">
        <f t="shared" ref="K312:L312" si="64">K314</f>
        <v>1575000</v>
      </c>
      <c r="L312" s="268">
        <f t="shared" si="64"/>
        <v>1575000</v>
      </c>
    </row>
    <row r="313" spans="2:14" ht="15.75" customHeight="1" x14ac:dyDescent="0.25">
      <c r="B313" s="259" t="s">
        <v>23</v>
      </c>
      <c r="C313" s="260" t="s">
        <v>139</v>
      </c>
      <c r="D313" s="253"/>
      <c r="E313" s="254"/>
      <c r="F313" s="254"/>
      <c r="G313" s="255"/>
      <c r="H313" s="255">
        <v>329</v>
      </c>
      <c r="I313" s="256" t="s">
        <v>38</v>
      </c>
      <c r="J313" s="310">
        <v>11</v>
      </c>
      <c r="K313" s="267">
        <f>K315</f>
        <v>20000</v>
      </c>
      <c r="L313" s="268">
        <f>L315</f>
        <v>20000</v>
      </c>
    </row>
    <row r="314" spans="2:14" x14ac:dyDescent="0.25">
      <c r="B314" s="16" t="s">
        <v>23</v>
      </c>
      <c r="C314" s="17" t="s">
        <v>139</v>
      </c>
      <c r="D314" s="17">
        <v>3</v>
      </c>
      <c r="E314" s="146">
        <v>2</v>
      </c>
      <c r="F314" s="146">
        <v>3</v>
      </c>
      <c r="G314" s="147">
        <v>7</v>
      </c>
      <c r="H314" s="147">
        <v>323</v>
      </c>
      <c r="I314" s="52" t="s">
        <v>61</v>
      </c>
      <c r="J314" s="310">
        <v>11</v>
      </c>
      <c r="K314" s="416">
        <f>1475000+150000-50000</f>
        <v>1575000</v>
      </c>
      <c r="L314" s="420">
        <v>1575000</v>
      </c>
    </row>
    <row r="315" spans="2:14" ht="16.5" customHeight="1" x14ac:dyDescent="0.25">
      <c r="B315" s="16" t="s">
        <v>23</v>
      </c>
      <c r="C315" s="17" t="s">
        <v>139</v>
      </c>
      <c r="D315" s="17">
        <v>3</v>
      </c>
      <c r="E315" s="146">
        <v>2</v>
      </c>
      <c r="F315" s="146">
        <v>9</v>
      </c>
      <c r="G315" s="147">
        <v>1</v>
      </c>
      <c r="H315" s="147">
        <v>329</v>
      </c>
      <c r="I315" s="164" t="s">
        <v>63</v>
      </c>
      <c r="J315" s="310">
        <v>11</v>
      </c>
      <c r="K315" s="201">
        <f>40000-20000</f>
        <v>20000</v>
      </c>
      <c r="L315" s="217">
        <v>20000</v>
      </c>
    </row>
    <row r="316" spans="2:14" ht="25.5" x14ac:dyDescent="0.25">
      <c r="B316" s="314" t="s">
        <v>15</v>
      </c>
      <c r="C316" s="315" t="s">
        <v>142</v>
      </c>
      <c r="D316" s="316"/>
      <c r="E316" s="317"/>
      <c r="F316" s="317"/>
      <c r="G316" s="317"/>
      <c r="H316" s="318" t="s">
        <v>4</v>
      </c>
      <c r="I316" s="320" t="s">
        <v>143</v>
      </c>
      <c r="J316" s="319"/>
      <c r="K316" s="327">
        <f>K317+K353+K400+K407+K419</f>
        <v>543882310</v>
      </c>
      <c r="L316" s="443">
        <f>L317+L353+L400+L407+L419</f>
        <v>447579973</v>
      </c>
    </row>
    <row r="317" spans="2:14" ht="38.25" x14ac:dyDescent="0.25">
      <c r="B317" s="2" t="s">
        <v>15</v>
      </c>
      <c r="C317" s="3" t="s">
        <v>144</v>
      </c>
      <c r="D317" s="3"/>
      <c r="E317" s="4"/>
      <c r="F317" s="4"/>
      <c r="G317" s="4"/>
      <c r="H317" s="5" t="s">
        <v>4</v>
      </c>
      <c r="I317" s="6" t="s">
        <v>145</v>
      </c>
      <c r="J317" s="78">
        <v>12</v>
      </c>
      <c r="K317" s="236">
        <f>SUM(K332:K352)</f>
        <v>6992650</v>
      </c>
      <c r="L317" s="349">
        <f>SUM(L332:L352)</f>
        <v>5980050</v>
      </c>
    </row>
    <row r="318" spans="2:14" x14ac:dyDescent="0.25">
      <c r="B318" s="351" t="s">
        <v>15</v>
      </c>
      <c r="C318" s="352" t="s">
        <v>144</v>
      </c>
      <c r="D318" s="352"/>
      <c r="E318" s="353"/>
      <c r="F318" s="353"/>
      <c r="G318" s="354"/>
      <c r="H318" s="354">
        <v>31</v>
      </c>
      <c r="I318" s="355" t="s">
        <v>26</v>
      </c>
      <c r="J318" s="78">
        <v>12</v>
      </c>
      <c r="K318" s="377">
        <f t="shared" ref="K318:L318" si="65">K322+K323+K324</f>
        <v>1762000</v>
      </c>
      <c r="L318" s="378">
        <f t="shared" si="65"/>
        <v>1409600</v>
      </c>
    </row>
    <row r="319" spans="2:14" x14ac:dyDescent="0.25">
      <c r="B319" s="351" t="s">
        <v>15</v>
      </c>
      <c r="C319" s="352" t="s">
        <v>144</v>
      </c>
      <c r="D319" s="352"/>
      <c r="E319" s="353"/>
      <c r="F319" s="353"/>
      <c r="G319" s="354"/>
      <c r="H319" s="354">
        <v>32</v>
      </c>
      <c r="I319" s="355" t="s">
        <v>27</v>
      </c>
      <c r="J319" s="78">
        <v>12</v>
      </c>
      <c r="K319" s="377">
        <f>K325+K326+K327+K328</f>
        <v>5163150</v>
      </c>
      <c r="L319" s="378">
        <f>L325+L326+L327+L328</f>
        <v>4502950</v>
      </c>
      <c r="N319" s="413"/>
    </row>
    <row r="320" spans="2:14" ht="25.5" x14ac:dyDescent="0.25">
      <c r="B320" s="351" t="s">
        <v>15</v>
      </c>
      <c r="C320" s="352" t="s">
        <v>144</v>
      </c>
      <c r="D320" s="352"/>
      <c r="E320" s="353"/>
      <c r="F320" s="353"/>
      <c r="G320" s="354"/>
      <c r="H320" s="354">
        <v>41</v>
      </c>
      <c r="I320" s="355" t="s">
        <v>99</v>
      </c>
      <c r="J320" s="78">
        <v>12</v>
      </c>
      <c r="K320" s="377">
        <f t="shared" ref="K320:L320" si="66">K329</f>
        <v>22500</v>
      </c>
      <c r="L320" s="378">
        <f t="shared" si="66"/>
        <v>22500</v>
      </c>
      <c r="N320" s="413"/>
    </row>
    <row r="321" spans="2:14" ht="25.5" x14ac:dyDescent="0.25">
      <c r="B321" s="351" t="s">
        <v>15</v>
      </c>
      <c r="C321" s="352" t="s">
        <v>144</v>
      </c>
      <c r="D321" s="352"/>
      <c r="E321" s="353"/>
      <c r="F321" s="353"/>
      <c r="G321" s="354"/>
      <c r="H321" s="354">
        <v>42</v>
      </c>
      <c r="I321" s="355" t="s">
        <v>30</v>
      </c>
      <c r="J321" s="78">
        <v>12</v>
      </c>
      <c r="K321" s="377">
        <f t="shared" ref="K321:L321" si="67">K330+K331</f>
        <v>45000</v>
      </c>
      <c r="L321" s="378">
        <f t="shared" si="67"/>
        <v>45000</v>
      </c>
    </row>
    <row r="322" spans="2:14" x14ac:dyDescent="0.25">
      <c r="B322" s="251" t="s">
        <v>15</v>
      </c>
      <c r="C322" s="260" t="s">
        <v>144</v>
      </c>
      <c r="D322" s="253"/>
      <c r="E322" s="254"/>
      <c r="F322" s="254"/>
      <c r="G322" s="255"/>
      <c r="H322" s="255">
        <v>311</v>
      </c>
      <c r="I322" s="256" t="s">
        <v>31</v>
      </c>
      <c r="J322" s="223">
        <v>12</v>
      </c>
      <c r="K322" s="267">
        <f>K332+K333</f>
        <v>1445000</v>
      </c>
      <c r="L322" s="268">
        <f>L332+L333</f>
        <v>1156000</v>
      </c>
      <c r="N322" s="413"/>
    </row>
    <row r="323" spans="2:14" ht="15.75" customHeight="1" x14ac:dyDescent="0.25">
      <c r="B323" s="251" t="s">
        <v>15</v>
      </c>
      <c r="C323" s="260" t="s">
        <v>144</v>
      </c>
      <c r="D323" s="253"/>
      <c r="E323" s="254"/>
      <c r="F323" s="254"/>
      <c r="G323" s="255"/>
      <c r="H323" s="255">
        <v>312</v>
      </c>
      <c r="I323" s="256" t="s">
        <v>32</v>
      </c>
      <c r="J323" s="223">
        <v>12</v>
      </c>
      <c r="K323" s="267">
        <f>K334</f>
        <v>27000</v>
      </c>
      <c r="L323" s="268">
        <f>L334</f>
        <v>21600</v>
      </c>
      <c r="N323" s="413"/>
    </row>
    <row r="324" spans="2:14" ht="15" customHeight="1" x14ac:dyDescent="0.25">
      <c r="B324" s="251" t="s">
        <v>15</v>
      </c>
      <c r="C324" s="260" t="s">
        <v>144</v>
      </c>
      <c r="D324" s="253"/>
      <c r="E324" s="254"/>
      <c r="F324" s="254"/>
      <c r="G324" s="255"/>
      <c r="H324" s="255">
        <v>313</v>
      </c>
      <c r="I324" s="256" t="s">
        <v>33</v>
      </c>
      <c r="J324" s="223">
        <v>12</v>
      </c>
      <c r="K324" s="267">
        <f>K335+K336</f>
        <v>290000</v>
      </c>
      <c r="L324" s="268">
        <f>L335+L336</f>
        <v>232000</v>
      </c>
    </row>
    <row r="325" spans="2:14" ht="15" customHeight="1" x14ac:dyDescent="0.25">
      <c r="B325" s="251" t="s">
        <v>15</v>
      </c>
      <c r="C325" s="260" t="s">
        <v>144</v>
      </c>
      <c r="D325" s="253"/>
      <c r="E325" s="254"/>
      <c r="F325" s="254"/>
      <c r="G325" s="255"/>
      <c r="H325" s="255">
        <v>321</v>
      </c>
      <c r="I325" s="256" t="s">
        <v>34</v>
      </c>
      <c r="J325" s="223">
        <v>12</v>
      </c>
      <c r="K325" s="267">
        <f>K337+K338+K339</f>
        <v>166000</v>
      </c>
      <c r="L325" s="268">
        <f>L337+L338+L339</f>
        <v>106300</v>
      </c>
    </row>
    <row r="326" spans="2:14" ht="15" customHeight="1" x14ac:dyDescent="0.25">
      <c r="B326" s="251" t="s">
        <v>15</v>
      </c>
      <c r="C326" s="260" t="s">
        <v>144</v>
      </c>
      <c r="D326" s="253"/>
      <c r="E326" s="254"/>
      <c r="F326" s="254"/>
      <c r="G326" s="255"/>
      <c r="H326" s="255">
        <v>322</v>
      </c>
      <c r="I326" s="256" t="s">
        <v>35</v>
      </c>
      <c r="J326" s="223">
        <v>12</v>
      </c>
      <c r="K326" s="267">
        <f>K340+K341+K342</f>
        <v>33000</v>
      </c>
      <c r="L326" s="268">
        <f>L340+L341+L342</f>
        <v>33000</v>
      </c>
    </row>
    <row r="327" spans="2:14" ht="15" customHeight="1" x14ac:dyDescent="0.25">
      <c r="B327" s="251" t="s">
        <v>15</v>
      </c>
      <c r="C327" s="260" t="s">
        <v>144</v>
      </c>
      <c r="D327" s="253"/>
      <c r="E327" s="254"/>
      <c r="F327" s="254"/>
      <c r="G327" s="255"/>
      <c r="H327" s="255">
        <v>323</v>
      </c>
      <c r="I327" s="256" t="s">
        <v>36</v>
      </c>
      <c r="J327" s="223">
        <v>12</v>
      </c>
      <c r="K327" s="267">
        <f>K343+K344+K345+K346+K347+K348</f>
        <v>4949150</v>
      </c>
      <c r="L327" s="268">
        <f>L343+L344+L345+L346+L347+L348</f>
        <v>4348650</v>
      </c>
    </row>
    <row r="328" spans="2:14" ht="18" customHeight="1" x14ac:dyDescent="0.25">
      <c r="B328" s="251" t="s">
        <v>15</v>
      </c>
      <c r="C328" s="260" t="s">
        <v>144</v>
      </c>
      <c r="D328" s="253"/>
      <c r="E328" s="254"/>
      <c r="F328" s="254"/>
      <c r="G328" s="255"/>
      <c r="H328" s="255">
        <v>329</v>
      </c>
      <c r="I328" s="256" t="s">
        <v>38</v>
      </c>
      <c r="J328" s="223">
        <v>12</v>
      </c>
      <c r="K328" s="267">
        <f t="shared" ref="K328:L331" si="68">K349</f>
        <v>15000</v>
      </c>
      <c r="L328" s="268">
        <f t="shared" si="68"/>
        <v>15000</v>
      </c>
    </row>
    <row r="329" spans="2:14" ht="13.5" customHeight="1" x14ac:dyDescent="0.25">
      <c r="B329" s="251" t="s">
        <v>15</v>
      </c>
      <c r="C329" s="260" t="s">
        <v>144</v>
      </c>
      <c r="D329" s="253"/>
      <c r="E329" s="254"/>
      <c r="F329" s="254"/>
      <c r="G329" s="255"/>
      <c r="H329" s="255">
        <v>412</v>
      </c>
      <c r="I329" s="256" t="s">
        <v>100</v>
      </c>
      <c r="J329" s="223">
        <v>12</v>
      </c>
      <c r="K329" s="267">
        <f t="shared" si="68"/>
        <v>22500</v>
      </c>
      <c r="L329" s="268">
        <f t="shared" si="68"/>
        <v>22500</v>
      </c>
    </row>
    <row r="330" spans="2:14" ht="13.5" customHeight="1" x14ac:dyDescent="0.25">
      <c r="B330" s="251" t="s">
        <v>15</v>
      </c>
      <c r="C330" s="260" t="s">
        <v>144</v>
      </c>
      <c r="D330" s="253"/>
      <c r="E330" s="254"/>
      <c r="F330" s="254"/>
      <c r="G330" s="255"/>
      <c r="H330" s="255">
        <v>422</v>
      </c>
      <c r="I330" s="256" t="s">
        <v>94</v>
      </c>
      <c r="J330" s="223">
        <v>12</v>
      </c>
      <c r="K330" s="267">
        <f t="shared" si="68"/>
        <v>15000</v>
      </c>
      <c r="L330" s="268">
        <f t="shared" si="68"/>
        <v>15000</v>
      </c>
    </row>
    <row r="331" spans="2:14" ht="17.25" customHeight="1" x14ac:dyDescent="0.25">
      <c r="B331" s="251" t="s">
        <v>15</v>
      </c>
      <c r="C331" s="260" t="s">
        <v>144</v>
      </c>
      <c r="D331" s="253"/>
      <c r="E331" s="254"/>
      <c r="F331" s="254"/>
      <c r="G331" s="255"/>
      <c r="H331" s="255">
        <v>426</v>
      </c>
      <c r="I331" s="256" t="s">
        <v>77</v>
      </c>
      <c r="J331" s="223">
        <v>12</v>
      </c>
      <c r="K331" s="267">
        <f t="shared" si="68"/>
        <v>30000</v>
      </c>
      <c r="L331" s="268">
        <f t="shared" si="68"/>
        <v>30000</v>
      </c>
    </row>
    <row r="332" spans="2:14" ht="15.75" customHeight="1" x14ac:dyDescent="0.25">
      <c r="B332" s="153" t="s">
        <v>15</v>
      </c>
      <c r="C332" s="17" t="s">
        <v>144</v>
      </c>
      <c r="D332" s="154">
        <v>3</v>
      </c>
      <c r="E332" s="162">
        <v>1</v>
      </c>
      <c r="F332" s="162">
        <v>1</v>
      </c>
      <c r="G332" s="163">
        <v>1</v>
      </c>
      <c r="H332" s="163">
        <v>311</v>
      </c>
      <c r="I332" s="194" t="s">
        <v>42</v>
      </c>
      <c r="J332" s="223">
        <v>12</v>
      </c>
      <c r="K332" s="201">
        <v>1400000</v>
      </c>
      <c r="L332" s="217">
        <v>1120000</v>
      </c>
    </row>
    <row r="333" spans="2:14" ht="14.25" customHeight="1" x14ac:dyDescent="0.25">
      <c r="B333" s="153" t="s">
        <v>15</v>
      </c>
      <c r="C333" s="17" t="s">
        <v>144</v>
      </c>
      <c r="D333" s="8">
        <v>3</v>
      </c>
      <c r="E333" s="1">
        <v>1</v>
      </c>
      <c r="F333" s="1">
        <v>1</v>
      </c>
      <c r="G333" s="25">
        <v>3</v>
      </c>
      <c r="H333" s="25">
        <v>311</v>
      </c>
      <c r="I333" s="52" t="s">
        <v>43</v>
      </c>
      <c r="J333" s="223">
        <v>12</v>
      </c>
      <c r="K333" s="201">
        <v>45000</v>
      </c>
      <c r="L333" s="217">
        <v>36000</v>
      </c>
    </row>
    <row r="334" spans="2:14" ht="15.75" customHeight="1" x14ac:dyDescent="0.25">
      <c r="B334" s="153" t="s">
        <v>15</v>
      </c>
      <c r="C334" s="17" t="s">
        <v>144</v>
      </c>
      <c r="D334" s="17">
        <v>3</v>
      </c>
      <c r="E334" s="146">
        <v>1</v>
      </c>
      <c r="F334" s="146">
        <v>2</v>
      </c>
      <c r="G334" s="147">
        <v>1</v>
      </c>
      <c r="H334" s="147">
        <v>312</v>
      </c>
      <c r="I334" s="164" t="s">
        <v>32</v>
      </c>
      <c r="J334" s="223">
        <v>12</v>
      </c>
      <c r="K334" s="201">
        <v>27000</v>
      </c>
      <c r="L334" s="217">
        <v>21600</v>
      </c>
    </row>
    <row r="335" spans="2:14" ht="15" customHeight="1" x14ac:dyDescent="0.25">
      <c r="B335" s="153" t="s">
        <v>15</v>
      </c>
      <c r="C335" s="17" t="s">
        <v>144</v>
      </c>
      <c r="D335" s="17">
        <v>3</v>
      </c>
      <c r="E335" s="146">
        <v>1</v>
      </c>
      <c r="F335" s="146">
        <v>3</v>
      </c>
      <c r="G335" s="147">
        <v>2</v>
      </c>
      <c r="H335" s="147">
        <v>313</v>
      </c>
      <c r="I335" s="164" t="s">
        <v>44</v>
      </c>
      <c r="J335" s="223">
        <v>12</v>
      </c>
      <c r="K335" s="201">
        <v>260000</v>
      </c>
      <c r="L335" s="217">
        <v>208000</v>
      </c>
    </row>
    <row r="336" spans="2:14" ht="15" customHeight="1" x14ac:dyDescent="0.25">
      <c r="B336" s="153" t="s">
        <v>15</v>
      </c>
      <c r="C336" s="17" t="s">
        <v>144</v>
      </c>
      <c r="D336" s="17">
        <v>3</v>
      </c>
      <c r="E336" s="146">
        <v>1</v>
      </c>
      <c r="F336" s="146">
        <v>3</v>
      </c>
      <c r="G336" s="147">
        <v>3</v>
      </c>
      <c r="H336" s="147">
        <v>313</v>
      </c>
      <c r="I336" s="164" t="s">
        <v>45</v>
      </c>
      <c r="J336" s="223">
        <v>12</v>
      </c>
      <c r="K336" s="244">
        <v>30000</v>
      </c>
      <c r="L336" s="217">
        <v>24000</v>
      </c>
    </row>
    <row r="337" spans="2:12" ht="15" customHeight="1" x14ac:dyDescent="0.25">
      <c r="B337" s="153" t="s">
        <v>15</v>
      </c>
      <c r="C337" s="17" t="s">
        <v>144</v>
      </c>
      <c r="D337" s="17">
        <v>3</v>
      </c>
      <c r="E337" s="146">
        <v>2</v>
      </c>
      <c r="F337" s="146">
        <v>1</v>
      </c>
      <c r="G337" s="147">
        <v>1</v>
      </c>
      <c r="H337" s="147">
        <v>321</v>
      </c>
      <c r="I337" s="164" t="s">
        <v>46</v>
      </c>
      <c r="J337" s="223">
        <v>12</v>
      </c>
      <c r="K337" s="201">
        <v>75000</v>
      </c>
      <c r="L337" s="217">
        <v>22500</v>
      </c>
    </row>
    <row r="338" spans="2:12" ht="15" customHeight="1" x14ac:dyDescent="0.25">
      <c r="B338" s="153" t="s">
        <v>15</v>
      </c>
      <c r="C338" s="187" t="s">
        <v>144</v>
      </c>
      <c r="D338" s="187">
        <v>3</v>
      </c>
      <c r="E338" s="188">
        <v>2</v>
      </c>
      <c r="F338" s="188">
        <v>1</v>
      </c>
      <c r="G338" s="213">
        <v>2</v>
      </c>
      <c r="H338" s="213">
        <v>321</v>
      </c>
      <c r="I338" s="218" t="s">
        <v>47</v>
      </c>
      <c r="J338" s="223">
        <v>12</v>
      </c>
      <c r="K338" s="201">
        <v>55000</v>
      </c>
      <c r="L338" s="217">
        <v>55000</v>
      </c>
    </row>
    <row r="339" spans="2:12" x14ac:dyDescent="0.25">
      <c r="B339" s="153" t="s">
        <v>15</v>
      </c>
      <c r="C339" s="17" t="s">
        <v>144</v>
      </c>
      <c r="D339" s="17">
        <v>3</v>
      </c>
      <c r="E339" s="146">
        <v>2</v>
      </c>
      <c r="F339" s="146">
        <v>1</v>
      </c>
      <c r="G339" s="147">
        <v>3</v>
      </c>
      <c r="H339" s="147">
        <v>321</v>
      </c>
      <c r="I339" s="164" t="s">
        <v>48</v>
      </c>
      <c r="J339" s="223">
        <v>12</v>
      </c>
      <c r="K339" s="201">
        <v>36000</v>
      </c>
      <c r="L339" s="217">
        <v>28800</v>
      </c>
    </row>
    <row r="340" spans="2:12" ht="15" customHeight="1" x14ac:dyDescent="0.25">
      <c r="B340" s="153" t="s">
        <v>15</v>
      </c>
      <c r="C340" s="17" t="s">
        <v>144</v>
      </c>
      <c r="D340" s="17">
        <v>3</v>
      </c>
      <c r="E340" s="146">
        <v>2</v>
      </c>
      <c r="F340" s="146">
        <v>2</v>
      </c>
      <c r="G340" s="147">
        <v>1</v>
      </c>
      <c r="H340" s="147">
        <v>322</v>
      </c>
      <c r="I340" s="164" t="s">
        <v>50</v>
      </c>
      <c r="J340" s="223">
        <v>12</v>
      </c>
      <c r="K340" s="244">
        <v>4500</v>
      </c>
      <c r="L340" s="217">
        <v>4500</v>
      </c>
    </row>
    <row r="341" spans="2:12" ht="15" customHeight="1" x14ac:dyDescent="0.25">
      <c r="B341" s="153" t="s">
        <v>15</v>
      </c>
      <c r="C341" s="17" t="s">
        <v>144</v>
      </c>
      <c r="D341" s="17">
        <v>3</v>
      </c>
      <c r="E341" s="146">
        <v>2</v>
      </c>
      <c r="F341" s="146">
        <v>2</v>
      </c>
      <c r="G341" s="147">
        <v>3</v>
      </c>
      <c r="H341" s="147">
        <v>322</v>
      </c>
      <c r="I341" s="164" t="s">
        <v>91</v>
      </c>
      <c r="J341" s="223">
        <v>12</v>
      </c>
      <c r="K341" s="244">
        <v>6000</v>
      </c>
      <c r="L341" s="217">
        <v>6000</v>
      </c>
    </row>
    <row r="342" spans="2:12" ht="15" customHeight="1" x14ac:dyDescent="0.25">
      <c r="B342" s="153" t="s">
        <v>15</v>
      </c>
      <c r="C342" s="17" t="s">
        <v>144</v>
      </c>
      <c r="D342" s="17">
        <v>3</v>
      </c>
      <c r="E342" s="146">
        <v>2</v>
      </c>
      <c r="F342" s="146">
        <v>2</v>
      </c>
      <c r="G342" s="147">
        <v>5</v>
      </c>
      <c r="H342" s="147">
        <v>322</v>
      </c>
      <c r="I342" s="164" t="s">
        <v>54</v>
      </c>
      <c r="J342" s="223">
        <v>12</v>
      </c>
      <c r="K342" s="244">
        <v>22500</v>
      </c>
      <c r="L342" s="217">
        <v>22500</v>
      </c>
    </row>
    <row r="343" spans="2:12" ht="15" customHeight="1" x14ac:dyDescent="0.25">
      <c r="B343" s="153" t="s">
        <v>15</v>
      </c>
      <c r="C343" s="17" t="s">
        <v>144</v>
      </c>
      <c r="D343" s="17">
        <v>3</v>
      </c>
      <c r="E343" s="146">
        <v>2</v>
      </c>
      <c r="F343" s="146">
        <v>3</v>
      </c>
      <c r="G343" s="147">
        <v>1</v>
      </c>
      <c r="H343" s="147">
        <v>323</v>
      </c>
      <c r="I343" s="164" t="s">
        <v>146</v>
      </c>
      <c r="J343" s="223">
        <v>12</v>
      </c>
      <c r="K343" s="244">
        <v>4500</v>
      </c>
      <c r="L343" s="217">
        <v>4500</v>
      </c>
    </row>
    <row r="344" spans="2:12" ht="15" customHeight="1" x14ac:dyDescent="0.25">
      <c r="B344" s="153" t="s">
        <v>15</v>
      </c>
      <c r="C344" s="17" t="s">
        <v>144</v>
      </c>
      <c r="D344" s="17">
        <v>3</v>
      </c>
      <c r="E344" s="146">
        <v>2</v>
      </c>
      <c r="F344" s="146">
        <v>3</v>
      </c>
      <c r="G344" s="147">
        <v>2</v>
      </c>
      <c r="H344" s="147">
        <v>323</v>
      </c>
      <c r="I344" s="164" t="s">
        <v>132</v>
      </c>
      <c r="J344" s="223">
        <v>12</v>
      </c>
      <c r="K344" s="244">
        <f>1700000+1500</f>
        <v>1701500</v>
      </c>
      <c r="L344" s="217">
        <v>1701500</v>
      </c>
    </row>
    <row r="345" spans="2:12" ht="17.25" customHeight="1" x14ac:dyDescent="0.25">
      <c r="B345" s="153" t="s">
        <v>15</v>
      </c>
      <c r="C345" s="17" t="s">
        <v>144</v>
      </c>
      <c r="D345" s="17">
        <v>3</v>
      </c>
      <c r="E345" s="146">
        <v>2</v>
      </c>
      <c r="F345" s="146">
        <v>3</v>
      </c>
      <c r="G345" s="147">
        <v>3</v>
      </c>
      <c r="H345" s="147">
        <v>323</v>
      </c>
      <c r="I345" s="164" t="s">
        <v>147</v>
      </c>
      <c r="J345" s="223">
        <v>12</v>
      </c>
      <c r="K345" s="244">
        <f>5600+75000</f>
        <v>80600</v>
      </c>
      <c r="L345" s="217">
        <v>80600</v>
      </c>
    </row>
    <row r="346" spans="2:12" ht="15" customHeight="1" x14ac:dyDescent="0.25">
      <c r="B346" s="153" t="s">
        <v>15</v>
      </c>
      <c r="C346" s="17" t="s">
        <v>144</v>
      </c>
      <c r="D346" s="17">
        <v>3</v>
      </c>
      <c r="E346" s="146">
        <v>2</v>
      </c>
      <c r="F346" s="146">
        <v>3</v>
      </c>
      <c r="G346" s="147">
        <v>5</v>
      </c>
      <c r="H346" s="147">
        <v>323</v>
      </c>
      <c r="I346" s="164" t="s">
        <v>59</v>
      </c>
      <c r="J346" s="223">
        <v>12</v>
      </c>
      <c r="K346" s="244">
        <v>201000</v>
      </c>
      <c r="L346" s="217">
        <v>100500</v>
      </c>
    </row>
    <row r="347" spans="2:12" x14ac:dyDescent="0.25">
      <c r="B347" s="153" t="s">
        <v>15</v>
      </c>
      <c r="C347" s="17" t="s">
        <v>144</v>
      </c>
      <c r="D347" s="17">
        <v>3</v>
      </c>
      <c r="E347" s="146">
        <v>2</v>
      </c>
      <c r="F347" s="146">
        <v>3</v>
      </c>
      <c r="G347" s="147">
        <v>7</v>
      </c>
      <c r="H347" s="147">
        <v>323</v>
      </c>
      <c r="I347" s="164" t="s">
        <v>61</v>
      </c>
      <c r="J347" s="223">
        <v>12</v>
      </c>
      <c r="K347" s="244">
        <f>105500+360000+1650000+1844550-1000000</f>
        <v>2960050</v>
      </c>
      <c r="L347" s="217">
        <v>2460050</v>
      </c>
    </row>
    <row r="348" spans="2:12" x14ac:dyDescent="0.25">
      <c r="B348" s="153" t="s">
        <v>15</v>
      </c>
      <c r="C348" s="17" t="s">
        <v>144</v>
      </c>
      <c r="D348" s="17">
        <v>3</v>
      </c>
      <c r="E348" s="146">
        <v>2</v>
      </c>
      <c r="F348" s="146">
        <v>3</v>
      </c>
      <c r="G348" s="147">
        <v>9</v>
      </c>
      <c r="H348" s="147">
        <v>323</v>
      </c>
      <c r="I348" s="164" t="s">
        <v>86</v>
      </c>
      <c r="J348" s="223">
        <v>12</v>
      </c>
      <c r="K348" s="244">
        <v>1500</v>
      </c>
      <c r="L348" s="217">
        <v>1500</v>
      </c>
    </row>
    <row r="349" spans="2:12" x14ac:dyDescent="0.25">
      <c r="B349" s="153" t="s">
        <v>15</v>
      </c>
      <c r="C349" s="17" t="s">
        <v>144</v>
      </c>
      <c r="D349" s="17">
        <v>3</v>
      </c>
      <c r="E349" s="146">
        <v>2</v>
      </c>
      <c r="F349" s="146">
        <v>9</v>
      </c>
      <c r="G349" s="147">
        <v>3</v>
      </c>
      <c r="H349" s="147">
        <v>329</v>
      </c>
      <c r="I349" s="164" t="s">
        <v>65</v>
      </c>
      <c r="J349" s="223">
        <v>12</v>
      </c>
      <c r="K349" s="244">
        <v>15000</v>
      </c>
      <c r="L349" s="217">
        <v>15000</v>
      </c>
    </row>
    <row r="350" spans="2:12" x14ac:dyDescent="0.25">
      <c r="B350" s="153" t="s">
        <v>15</v>
      </c>
      <c r="C350" s="17" t="s">
        <v>144</v>
      </c>
      <c r="D350" s="17">
        <v>4</v>
      </c>
      <c r="E350" s="146">
        <v>1</v>
      </c>
      <c r="F350" s="146">
        <v>2</v>
      </c>
      <c r="G350" s="147">
        <v>3</v>
      </c>
      <c r="H350" s="147">
        <v>412</v>
      </c>
      <c r="I350" s="164" t="s">
        <v>101</v>
      </c>
      <c r="J350" s="223">
        <v>12</v>
      </c>
      <c r="K350" s="244">
        <v>22500</v>
      </c>
      <c r="L350" s="217">
        <v>22500</v>
      </c>
    </row>
    <row r="351" spans="2:12" ht="15" customHeight="1" x14ac:dyDescent="0.25">
      <c r="B351" s="153" t="s">
        <v>15</v>
      </c>
      <c r="C351" s="17" t="s">
        <v>144</v>
      </c>
      <c r="D351" s="17">
        <v>4</v>
      </c>
      <c r="E351" s="146">
        <v>2</v>
      </c>
      <c r="F351" s="146">
        <v>2</v>
      </c>
      <c r="G351" s="147">
        <v>1</v>
      </c>
      <c r="H351" s="147">
        <v>422</v>
      </c>
      <c r="I351" s="164" t="s">
        <v>95</v>
      </c>
      <c r="J351" s="223">
        <v>12</v>
      </c>
      <c r="K351" s="244">
        <v>15000</v>
      </c>
      <c r="L351" s="217">
        <v>15000</v>
      </c>
    </row>
    <row r="352" spans="2:12" x14ac:dyDescent="0.25">
      <c r="B352" s="153" t="s">
        <v>15</v>
      </c>
      <c r="C352" s="17" t="s">
        <v>144</v>
      </c>
      <c r="D352" s="17">
        <v>4</v>
      </c>
      <c r="E352" s="146">
        <v>2</v>
      </c>
      <c r="F352" s="146">
        <v>6</v>
      </c>
      <c r="G352" s="147">
        <v>2</v>
      </c>
      <c r="H352" s="147">
        <v>426</v>
      </c>
      <c r="I352" s="164" t="s">
        <v>79</v>
      </c>
      <c r="J352" s="223">
        <v>12</v>
      </c>
      <c r="K352" s="244">
        <v>30000</v>
      </c>
      <c r="L352" s="217">
        <v>30000</v>
      </c>
    </row>
    <row r="353" spans="2:14" ht="38.25" x14ac:dyDescent="0.25">
      <c r="B353" s="2" t="s">
        <v>15</v>
      </c>
      <c r="C353" s="3" t="s">
        <v>144</v>
      </c>
      <c r="D353" s="3"/>
      <c r="E353" s="4"/>
      <c r="F353" s="4"/>
      <c r="G353" s="4"/>
      <c r="H353" s="5" t="s">
        <v>4</v>
      </c>
      <c r="I353" s="6" t="s">
        <v>145</v>
      </c>
      <c r="J353" s="211">
        <v>563</v>
      </c>
      <c r="K353" s="236">
        <f>SUM(K375:K399)</f>
        <v>524679500</v>
      </c>
      <c r="L353" s="349">
        <f>SUM(L375:L399)</f>
        <v>426848388</v>
      </c>
      <c r="M353" s="413"/>
    </row>
    <row r="354" spans="2:14" x14ac:dyDescent="0.25">
      <c r="B354" s="351" t="s">
        <v>15</v>
      </c>
      <c r="C354" s="352" t="s">
        <v>144</v>
      </c>
      <c r="D354" s="352"/>
      <c r="E354" s="353"/>
      <c r="F354" s="353"/>
      <c r="G354" s="354"/>
      <c r="H354" s="354">
        <v>31</v>
      </c>
      <c r="I354" s="355" t="s">
        <v>26</v>
      </c>
      <c r="J354" s="211">
        <v>563</v>
      </c>
      <c r="K354" s="377">
        <f t="shared" ref="K354:L354" si="69">K361+K362+K363</f>
        <v>9828000</v>
      </c>
      <c r="L354" s="378">
        <f t="shared" si="69"/>
        <v>7862400</v>
      </c>
    </row>
    <row r="355" spans="2:14" x14ac:dyDescent="0.25">
      <c r="B355" s="351" t="s">
        <v>15</v>
      </c>
      <c r="C355" s="352" t="s">
        <v>144</v>
      </c>
      <c r="D355" s="352"/>
      <c r="E355" s="353"/>
      <c r="F355" s="353"/>
      <c r="G355" s="354"/>
      <c r="H355" s="354">
        <v>32</v>
      </c>
      <c r="I355" s="355" t="s">
        <v>27</v>
      </c>
      <c r="J355" s="211">
        <v>563</v>
      </c>
      <c r="K355" s="377">
        <f>K364+K365+K366+K367</f>
        <v>6769000</v>
      </c>
      <c r="L355" s="378">
        <f>L364+L365+L366+L367</f>
        <v>5861200</v>
      </c>
    </row>
    <row r="356" spans="2:14" ht="25.5" x14ac:dyDescent="0.25">
      <c r="B356" s="351" t="s">
        <v>15</v>
      </c>
      <c r="C356" s="352" t="s">
        <v>144</v>
      </c>
      <c r="D356" s="352"/>
      <c r="E356" s="353"/>
      <c r="F356" s="353"/>
      <c r="G356" s="354"/>
      <c r="H356" s="354">
        <v>36</v>
      </c>
      <c r="I356" s="362" t="s">
        <v>82</v>
      </c>
      <c r="J356" s="211">
        <v>563</v>
      </c>
      <c r="K356" s="377">
        <f t="shared" ref="K356:L356" si="70">K368+K369</f>
        <v>400000000</v>
      </c>
      <c r="L356" s="378">
        <f t="shared" si="70"/>
        <v>380042288</v>
      </c>
      <c r="M356" s="413"/>
    </row>
    <row r="357" spans="2:14" x14ac:dyDescent="0.25">
      <c r="B357" s="351" t="s">
        <v>15</v>
      </c>
      <c r="C357" s="352" t="s">
        <v>144</v>
      </c>
      <c r="D357" s="352"/>
      <c r="E357" s="353"/>
      <c r="F357" s="353"/>
      <c r="G357" s="354"/>
      <c r="H357" s="354">
        <v>38</v>
      </c>
      <c r="I357" s="355" t="s">
        <v>29</v>
      </c>
      <c r="J357" s="211">
        <v>563</v>
      </c>
      <c r="K357" s="377">
        <f t="shared" ref="K357:L357" si="71">K370</f>
        <v>7000000</v>
      </c>
      <c r="L357" s="378">
        <f t="shared" si="71"/>
        <v>7000000</v>
      </c>
    </row>
    <row r="358" spans="2:14" ht="25.5" x14ac:dyDescent="0.25">
      <c r="B358" s="351" t="s">
        <v>15</v>
      </c>
      <c r="C358" s="352" t="s">
        <v>144</v>
      </c>
      <c r="D358" s="352"/>
      <c r="E358" s="353"/>
      <c r="F358" s="353"/>
      <c r="G358" s="354"/>
      <c r="H358" s="354">
        <v>41</v>
      </c>
      <c r="I358" s="355" t="s">
        <v>99</v>
      </c>
      <c r="J358" s="211">
        <v>563</v>
      </c>
      <c r="K358" s="377">
        <f t="shared" ref="K358:L358" si="72">K371</f>
        <v>127500</v>
      </c>
      <c r="L358" s="378">
        <f t="shared" si="72"/>
        <v>127500</v>
      </c>
      <c r="M358" s="413"/>
    </row>
    <row r="359" spans="2:14" ht="25.5" x14ac:dyDescent="0.25">
      <c r="B359" s="351" t="s">
        <v>15</v>
      </c>
      <c r="C359" s="352" t="s">
        <v>144</v>
      </c>
      <c r="D359" s="352"/>
      <c r="E359" s="353"/>
      <c r="F359" s="353"/>
      <c r="G359" s="354"/>
      <c r="H359" s="354">
        <v>42</v>
      </c>
      <c r="I359" s="355" t="s">
        <v>30</v>
      </c>
      <c r="J359" s="211">
        <v>563</v>
      </c>
      <c r="K359" s="377">
        <f t="shared" ref="K359:L359" si="73">K372+K373</f>
        <v>255000</v>
      </c>
      <c r="L359" s="378">
        <f t="shared" si="73"/>
        <v>255000</v>
      </c>
    </row>
    <row r="360" spans="2:14" x14ac:dyDescent="0.25">
      <c r="B360" s="351" t="s">
        <v>15</v>
      </c>
      <c r="C360" s="352" t="s">
        <v>144</v>
      </c>
      <c r="D360" s="352"/>
      <c r="E360" s="353"/>
      <c r="F360" s="353"/>
      <c r="G360" s="354"/>
      <c r="H360" s="354">
        <v>51</v>
      </c>
      <c r="I360" s="355" t="s">
        <v>148</v>
      </c>
      <c r="J360" s="211">
        <v>563</v>
      </c>
      <c r="K360" s="377">
        <f>K374</f>
        <v>100700000</v>
      </c>
      <c r="L360" s="378">
        <f>L374</f>
        <v>25700000</v>
      </c>
      <c r="N360" s="413"/>
    </row>
    <row r="361" spans="2:14" ht="15" customHeight="1" x14ac:dyDescent="0.25">
      <c r="B361" s="251" t="s">
        <v>15</v>
      </c>
      <c r="C361" s="260" t="s">
        <v>144</v>
      </c>
      <c r="D361" s="253"/>
      <c r="E361" s="254"/>
      <c r="F361" s="254"/>
      <c r="G361" s="255"/>
      <c r="H361" s="255">
        <v>311</v>
      </c>
      <c r="I361" s="256" t="s">
        <v>31</v>
      </c>
      <c r="J361" s="224">
        <v>563</v>
      </c>
      <c r="K361" s="267">
        <f>K375+K376</f>
        <v>8055000</v>
      </c>
      <c r="L361" s="268">
        <f>L375+L376</f>
        <v>6444000</v>
      </c>
      <c r="N361" s="413"/>
    </row>
    <row r="362" spans="2:14" ht="15" customHeight="1" x14ac:dyDescent="0.25">
      <c r="B362" s="251" t="s">
        <v>15</v>
      </c>
      <c r="C362" s="260" t="s">
        <v>144</v>
      </c>
      <c r="D362" s="253"/>
      <c r="E362" s="254"/>
      <c r="F362" s="254"/>
      <c r="G362" s="255"/>
      <c r="H362" s="255">
        <v>312</v>
      </c>
      <c r="I362" s="256" t="s">
        <v>32</v>
      </c>
      <c r="J362" s="224">
        <v>563</v>
      </c>
      <c r="K362" s="267">
        <f>K377</f>
        <v>153000</v>
      </c>
      <c r="L362" s="268">
        <f>L377</f>
        <v>122400</v>
      </c>
    </row>
    <row r="363" spans="2:14" x14ac:dyDescent="0.25">
      <c r="B363" s="251" t="s">
        <v>15</v>
      </c>
      <c r="C363" s="260" t="s">
        <v>144</v>
      </c>
      <c r="D363" s="253"/>
      <c r="E363" s="254"/>
      <c r="F363" s="254"/>
      <c r="G363" s="255"/>
      <c r="H363" s="255">
        <v>313</v>
      </c>
      <c r="I363" s="256" t="s">
        <v>33</v>
      </c>
      <c r="J363" s="224">
        <v>563</v>
      </c>
      <c r="K363" s="267">
        <f>K378+K379</f>
        <v>1620000</v>
      </c>
      <c r="L363" s="268">
        <f>L378+L379</f>
        <v>1296000</v>
      </c>
    </row>
    <row r="364" spans="2:14" x14ac:dyDescent="0.25">
      <c r="B364" s="251" t="s">
        <v>15</v>
      </c>
      <c r="C364" s="260" t="s">
        <v>144</v>
      </c>
      <c r="D364" s="253"/>
      <c r="E364" s="254"/>
      <c r="F364" s="254"/>
      <c r="G364" s="255"/>
      <c r="H364" s="255">
        <v>321</v>
      </c>
      <c r="I364" s="256" t="s">
        <v>34</v>
      </c>
      <c r="J364" s="224">
        <v>563</v>
      </c>
      <c r="K364" s="267">
        <f>K380+K381+K382</f>
        <v>929000</v>
      </c>
      <c r="L364" s="268">
        <f>L380+L381+L382</f>
        <v>590700</v>
      </c>
    </row>
    <row r="365" spans="2:14" x14ac:dyDescent="0.25">
      <c r="B365" s="251" t="s">
        <v>15</v>
      </c>
      <c r="C365" s="260" t="s">
        <v>144</v>
      </c>
      <c r="D365" s="253"/>
      <c r="E365" s="254"/>
      <c r="F365" s="254"/>
      <c r="G365" s="255"/>
      <c r="H365" s="255">
        <v>322</v>
      </c>
      <c r="I365" s="256" t="s">
        <v>35</v>
      </c>
      <c r="J365" s="224">
        <v>563</v>
      </c>
      <c r="K365" s="267">
        <f>K383+K384+K385</f>
        <v>187000</v>
      </c>
      <c r="L365" s="268">
        <f>L383+L384+L385</f>
        <v>187000</v>
      </c>
    </row>
    <row r="366" spans="2:14" ht="15" customHeight="1" x14ac:dyDescent="0.25">
      <c r="B366" s="251" t="s">
        <v>15</v>
      </c>
      <c r="C366" s="260" t="s">
        <v>144</v>
      </c>
      <c r="D366" s="253"/>
      <c r="E366" s="254"/>
      <c r="F366" s="254"/>
      <c r="G366" s="255"/>
      <c r="H366" s="255">
        <v>323</v>
      </c>
      <c r="I366" s="256" t="s">
        <v>36</v>
      </c>
      <c r="J366" s="224">
        <v>563</v>
      </c>
      <c r="K366" s="267">
        <f>K386+K387+K388+K389+K390+K391</f>
        <v>5568000</v>
      </c>
      <c r="L366" s="268">
        <f>L386+L387+L388+L389+L390+L391</f>
        <v>4998500</v>
      </c>
    </row>
    <row r="367" spans="2:14" x14ac:dyDescent="0.25">
      <c r="B367" s="251" t="s">
        <v>15</v>
      </c>
      <c r="C367" s="260" t="s">
        <v>144</v>
      </c>
      <c r="D367" s="253"/>
      <c r="E367" s="254"/>
      <c r="F367" s="254"/>
      <c r="G367" s="255"/>
      <c r="H367" s="255">
        <v>329</v>
      </c>
      <c r="I367" s="256" t="s">
        <v>38</v>
      </c>
      <c r="J367" s="224">
        <v>563</v>
      </c>
      <c r="K367" s="267">
        <f>K392</f>
        <v>85000</v>
      </c>
      <c r="L367" s="268">
        <f>L392</f>
        <v>85000</v>
      </c>
    </row>
    <row r="368" spans="2:14" ht="15" customHeight="1" x14ac:dyDescent="0.25">
      <c r="B368" s="251" t="s">
        <v>15</v>
      </c>
      <c r="C368" s="260" t="s">
        <v>144</v>
      </c>
      <c r="D368" s="253"/>
      <c r="E368" s="254"/>
      <c r="F368" s="254"/>
      <c r="G368" s="255"/>
      <c r="H368" s="255">
        <v>368</v>
      </c>
      <c r="I368" s="256" t="s">
        <v>149</v>
      </c>
      <c r="J368" s="224">
        <v>563</v>
      </c>
      <c r="K368" s="267">
        <f>K393</f>
        <v>400000000</v>
      </c>
      <c r="L368" s="268">
        <f>L393</f>
        <v>380000000</v>
      </c>
    </row>
    <row r="369" spans="2:12" ht="25.5" x14ac:dyDescent="0.25">
      <c r="B369" s="251" t="s">
        <v>15</v>
      </c>
      <c r="C369" s="260" t="s">
        <v>144</v>
      </c>
      <c r="D369" s="253"/>
      <c r="E369" s="254"/>
      <c r="F369" s="254"/>
      <c r="G369" s="255"/>
      <c r="H369" s="255">
        <v>369</v>
      </c>
      <c r="I369" s="256" t="s">
        <v>116</v>
      </c>
      <c r="J369" s="224">
        <v>563</v>
      </c>
      <c r="K369" s="267">
        <f t="shared" ref="K369:L370" si="74">K394</f>
        <v>0</v>
      </c>
      <c r="L369" s="268">
        <f t="shared" si="74"/>
        <v>42288</v>
      </c>
    </row>
    <row r="370" spans="2:12" ht="15" customHeight="1" x14ac:dyDescent="0.25">
      <c r="B370" s="251" t="s">
        <v>15</v>
      </c>
      <c r="C370" s="260" t="s">
        <v>144</v>
      </c>
      <c r="D370" s="253"/>
      <c r="E370" s="254"/>
      <c r="F370" s="254"/>
      <c r="G370" s="255"/>
      <c r="H370" s="255">
        <v>382</v>
      </c>
      <c r="I370" s="256" t="s">
        <v>150</v>
      </c>
      <c r="J370" s="224">
        <v>563</v>
      </c>
      <c r="K370" s="267">
        <f t="shared" si="74"/>
        <v>7000000</v>
      </c>
      <c r="L370" s="268">
        <f t="shared" si="74"/>
        <v>7000000</v>
      </c>
    </row>
    <row r="371" spans="2:12" ht="15" customHeight="1" x14ac:dyDescent="0.25">
      <c r="B371" s="251" t="s">
        <v>15</v>
      </c>
      <c r="C371" s="260" t="s">
        <v>144</v>
      </c>
      <c r="D371" s="253"/>
      <c r="E371" s="254"/>
      <c r="F371" s="254"/>
      <c r="G371" s="255"/>
      <c r="H371" s="255">
        <v>412</v>
      </c>
      <c r="I371" s="256" t="s">
        <v>100</v>
      </c>
      <c r="J371" s="224">
        <v>563</v>
      </c>
      <c r="K371" s="267">
        <f>K396</f>
        <v>127500</v>
      </c>
      <c r="L371" s="268">
        <f>L396</f>
        <v>127500</v>
      </c>
    </row>
    <row r="372" spans="2:12" ht="15" customHeight="1" x14ac:dyDescent="0.25">
      <c r="B372" s="251" t="s">
        <v>15</v>
      </c>
      <c r="C372" s="260" t="s">
        <v>144</v>
      </c>
      <c r="D372" s="253"/>
      <c r="E372" s="254"/>
      <c r="F372" s="254"/>
      <c r="G372" s="255"/>
      <c r="H372" s="255">
        <v>422</v>
      </c>
      <c r="I372" s="256" t="s">
        <v>94</v>
      </c>
      <c r="J372" s="224">
        <v>563</v>
      </c>
      <c r="K372" s="267">
        <f>K397</f>
        <v>85000</v>
      </c>
      <c r="L372" s="268">
        <f>L397</f>
        <v>85000</v>
      </c>
    </row>
    <row r="373" spans="2:12" x14ac:dyDescent="0.25">
      <c r="B373" s="251" t="s">
        <v>15</v>
      </c>
      <c r="C373" s="260" t="s">
        <v>144</v>
      </c>
      <c r="D373" s="253"/>
      <c r="E373" s="254"/>
      <c r="F373" s="254"/>
      <c r="G373" s="255"/>
      <c r="H373" s="255">
        <v>426</v>
      </c>
      <c r="I373" s="256" t="s">
        <v>77</v>
      </c>
      <c r="J373" s="224">
        <v>563</v>
      </c>
      <c r="K373" s="267">
        <f t="shared" ref="K373:L373" si="75">K398</f>
        <v>170000</v>
      </c>
      <c r="L373" s="268">
        <f t="shared" si="75"/>
        <v>170000</v>
      </c>
    </row>
    <row r="374" spans="2:12" x14ac:dyDescent="0.25">
      <c r="B374" s="251" t="s">
        <v>15</v>
      </c>
      <c r="C374" s="260" t="s">
        <v>144</v>
      </c>
      <c r="D374" s="253"/>
      <c r="E374" s="254"/>
      <c r="F374" s="254"/>
      <c r="G374" s="255"/>
      <c r="H374" s="255">
        <v>518</v>
      </c>
      <c r="I374" s="256" t="s">
        <v>151</v>
      </c>
      <c r="J374" s="224">
        <v>563</v>
      </c>
      <c r="K374" s="267">
        <f>K399</f>
        <v>100700000</v>
      </c>
      <c r="L374" s="268">
        <f>L399</f>
        <v>25700000</v>
      </c>
    </row>
    <row r="375" spans="2:12" x14ac:dyDescent="0.25">
      <c r="B375" s="153" t="s">
        <v>15</v>
      </c>
      <c r="C375" s="17" t="s">
        <v>144</v>
      </c>
      <c r="D375" s="154">
        <v>3</v>
      </c>
      <c r="E375" s="162">
        <v>1</v>
      </c>
      <c r="F375" s="162">
        <v>1</v>
      </c>
      <c r="G375" s="163">
        <v>1</v>
      </c>
      <c r="H375" s="163">
        <v>311</v>
      </c>
      <c r="I375" s="194" t="s">
        <v>42</v>
      </c>
      <c r="J375" s="224">
        <v>563</v>
      </c>
      <c r="K375" s="201">
        <v>7800000</v>
      </c>
      <c r="L375" s="217">
        <v>6240000</v>
      </c>
    </row>
    <row r="376" spans="2:12" x14ac:dyDescent="0.25">
      <c r="B376" s="153" t="s">
        <v>15</v>
      </c>
      <c r="C376" s="17" t="s">
        <v>144</v>
      </c>
      <c r="D376" s="8">
        <v>3</v>
      </c>
      <c r="E376" s="1">
        <v>1</v>
      </c>
      <c r="F376" s="1">
        <v>1</v>
      </c>
      <c r="G376" s="25">
        <v>3</v>
      </c>
      <c r="H376" s="25">
        <v>311</v>
      </c>
      <c r="I376" s="52" t="s">
        <v>43</v>
      </c>
      <c r="J376" s="224">
        <v>563</v>
      </c>
      <c r="K376" s="201">
        <v>255000</v>
      </c>
      <c r="L376" s="217">
        <v>204000</v>
      </c>
    </row>
    <row r="377" spans="2:12" x14ac:dyDescent="0.25">
      <c r="B377" s="153" t="s">
        <v>15</v>
      </c>
      <c r="C377" s="17" t="s">
        <v>144</v>
      </c>
      <c r="D377" s="17">
        <v>3</v>
      </c>
      <c r="E377" s="146">
        <v>1</v>
      </c>
      <c r="F377" s="146">
        <v>2</v>
      </c>
      <c r="G377" s="147">
        <v>1</v>
      </c>
      <c r="H377" s="147">
        <v>312</v>
      </c>
      <c r="I377" s="164" t="s">
        <v>32</v>
      </c>
      <c r="J377" s="224">
        <v>563</v>
      </c>
      <c r="K377" s="201">
        <v>153000</v>
      </c>
      <c r="L377" s="217">
        <v>122400</v>
      </c>
    </row>
    <row r="378" spans="2:12" x14ac:dyDescent="0.25">
      <c r="B378" s="153" t="s">
        <v>15</v>
      </c>
      <c r="C378" s="17" t="s">
        <v>144</v>
      </c>
      <c r="D378" s="17">
        <v>3</v>
      </c>
      <c r="E378" s="146">
        <v>1</v>
      </c>
      <c r="F378" s="146">
        <v>3</v>
      </c>
      <c r="G378" s="147">
        <v>2</v>
      </c>
      <c r="H378" s="147">
        <v>313</v>
      </c>
      <c r="I378" s="164" t="s">
        <v>44</v>
      </c>
      <c r="J378" s="224">
        <v>563</v>
      </c>
      <c r="K378" s="201">
        <v>1450000</v>
      </c>
      <c r="L378" s="217">
        <v>1160000</v>
      </c>
    </row>
    <row r="379" spans="2:12" ht="15" customHeight="1" x14ac:dyDescent="0.25">
      <c r="B379" s="153" t="s">
        <v>15</v>
      </c>
      <c r="C379" s="17" t="s">
        <v>144</v>
      </c>
      <c r="D379" s="17">
        <v>3</v>
      </c>
      <c r="E379" s="146">
        <v>1</v>
      </c>
      <c r="F379" s="146">
        <v>3</v>
      </c>
      <c r="G379" s="147">
        <v>3</v>
      </c>
      <c r="H379" s="147">
        <v>313</v>
      </c>
      <c r="I379" s="164" t="s">
        <v>45</v>
      </c>
      <c r="J379" s="224">
        <v>563</v>
      </c>
      <c r="K379" s="244">
        <v>170000</v>
      </c>
      <c r="L379" s="217">
        <v>136000</v>
      </c>
    </row>
    <row r="380" spans="2:12" x14ac:dyDescent="0.25">
      <c r="B380" s="153" t="s">
        <v>15</v>
      </c>
      <c r="C380" s="17" t="s">
        <v>144</v>
      </c>
      <c r="D380" s="17">
        <v>3</v>
      </c>
      <c r="E380" s="146">
        <v>2</v>
      </c>
      <c r="F380" s="146">
        <v>1</v>
      </c>
      <c r="G380" s="147">
        <v>1</v>
      </c>
      <c r="H380" s="147">
        <v>321</v>
      </c>
      <c r="I380" s="164" t="s">
        <v>46</v>
      </c>
      <c r="J380" s="224">
        <v>563</v>
      </c>
      <c r="K380" s="244">
        <v>425000</v>
      </c>
      <c r="L380" s="217">
        <v>127500</v>
      </c>
    </row>
    <row r="381" spans="2:12" ht="16.5" customHeight="1" x14ac:dyDescent="0.25">
      <c r="B381" s="153" t="s">
        <v>15</v>
      </c>
      <c r="C381" s="17" t="s">
        <v>144</v>
      </c>
      <c r="D381" s="17">
        <v>3</v>
      </c>
      <c r="E381" s="146">
        <v>2</v>
      </c>
      <c r="F381" s="146">
        <v>1</v>
      </c>
      <c r="G381" s="147">
        <v>2</v>
      </c>
      <c r="H381" s="147">
        <v>321</v>
      </c>
      <c r="I381" s="218" t="s">
        <v>47</v>
      </c>
      <c r="J381" s="224">
        <v>563</v>
      </c>
      <c r="K381" s="244">
        <v>300000</v>
      </c>
      <c r="L381" s="217">
        <v>300000</v>
      </c>
    </row>
    <row r="382" spans="2:12" ht="16.5" customHeight="1" x14ac:dyDescent="0.25">
      <c r="B382" s="153" t="s">
        <v>15</v>
      </c>
      <c r="C382" s="17" t="s">
        <v>144</v>
      </c>
      <c r="D382" s="17">
        <v>3</v>
      </c>
      <c r="E382" s="146">
        <v>2</v>
      </c>
      <c r="F382" s="146">
        <v>1</v>
      </c>
      <c r="G382" s="147">
        <v>3</v>
      </c>
      <c r="H382" s="147">
        <v>321</v>
      </c>
      <c r="I382" s="164" t="s">
        <v>48</v>
      </c>
      <c r="J382" s="224">
        <v>563</v>
      </c>
      <c r="K382" s="244">
        <v>204000</v>
      </c>
      <c r="L382" s="217">
        <v>163200</v>
      </c>
    </row>
    <row r="383" spans="2:12" ht="15" customHeight="1" x14ac:dyDescent="0.25">
      <c r="B383" s="153" t="s">
        <v>15</v>
      </c>
      <c r="C383" s="17" t="s">
        <v>144</v>
      </c>
      <c r="D383" s="17">
        <v>3</v>
      </c>
      <c r="E383" s="146">
        <v>2</v>
      </c>
      <c r="F383" s="146">
        <v>2</v>
      </c>
      <c r="G383" s="147">
        <v>1</v>
      </c>
      <c r="H383" s="147">
        <v>322</v>
      </c>
      <c r="I383" s="164" t="s">
        <v>50</v>
      </c>
      <c r="J383" s="224">
        <v>563</v>
      </c>
      <c r="K383" s="244">
        <v>25500</v>
      </c>
      <c r="L383" s="217">
        <v>25500</v>
      </c>
    </row>
    <row r="384" spans="2:12" ht="14.25" customHeight="1" x14ac:dyDescent="0.25">
      <c r="B384" s="153" t="s">
        <v>15</v>
      </c>
      <c r="C384" s="17" t="s">
        <v>144</v>
      </c>
      <c r="D384" s="17">
        <v>3</v>
      </c>
      <c r="E384" s="146">
        <v>2</v>
      </c>
      <c r="F384" s="146">
        <v>2</v>
      </c>
      <c r="G384" s="147">
        <v>3</v>
      </c>
      <c r="H384" s="147">
        <v>322</v>
      </c>
      <c r="I384" s="164" t="s">
        <v>91</v>
      </c>
      <c r="J384" s="224">
        <v>563</v>
      </c>
      <c r="K384" s="244">
        <v>34000</v>
      </c>
      <c r="L384" s="217">
        <v>34000</v>
      </c>
    </row>
    <row r="385" spans="2:12" x14ac:dyDescent="0.25">
      <c r="B385" s="153" t="s">
        <v>15</v>
      </c>
      <c r="C385" s="17" t="s">
        <v>144</v>
      </c>
      <c r="D385" s="17">
        <v>3</v>
      </c>
      <c r="E385" s="146">
        <v>2</v>
      </c>
      <c r="F385" s="146">
        <v>2</v>
      </c>
      <c r="G385" s="147">
        <v>5</v>
      </c>
      <c r="H385" s="147">
        <v>322</v>
      </c>
      <c r="I385" s="164" t="s">
        <v>54</v>
      </c>
      <c r="J385" s="224">
        <v>563</v>
      </c>
      <c r="K385" s="244">
        <v>127500</v>
      </c>
      <c r="L385" s="217">
        <v>127500</v>
      </c>
    </row>
    <row r="386" spans="2:12" x14ac:dyDescent="0.25">
      <c r="B386" s="153" t="s">
        <v>15</v>
      </c>
      <c r="C386" s="17" t="s">
        <v>144</v>
      </c>
      <c r="D386" s="17">
        <v>3</v>
      </c>
      <c r="E386" s="146">
        <v>2</v>
      </c>
      <c r="F386" s="146">
        <v>3</v>
      </c>
      <c r="G386" s="147">
        <v>1</v>
      </c>
      <c r="H386" s="147">
        <v>323</v>
      </c>
      <c r="I386" s="164" t="s">
        <v>146</v>
      </c>
      <c r="J386" s="224">
        <v>563</v>
      </c>
      <c r="K386" s="244">
        <v>25500</v>
      </c>
      <c r="L386" s="217">
        <v>25500</v>
      </c>
    </row>
    <row r="387" spans="2:12" x14ac:dyDescent="0.25">
      <c r="B387" s="153" t="s">
        <v>15</v>
      </c>
      <c r="C387" s="17" t="s">
        <v>144</v>
      </c>
      <c r="D387" s="17">
        <v>3</v>
      </c>
      <c r="E387" s="146">
        <v>2</v>
      </c>
      <c r="F387" s="146">
        <v>3</v>
      </c>
      <c r="G387" s="147">
        <v>2</v>
      </c>
      <c r="H387" s="147">
        <v>323</v>
      </c>
      <c r="I387" s="164" t="s">
        <v>132</v>
      </c>
      <c r="J387" s="224">
        <v>563</v>
      </c>
      <c r="K387" s="244">
        <f>1700000+8500</f>
        <v>1708500</v>
      </c>
      <c r="L387" s="217">
        <v>1708500</v>
      </c>
    </row>
    <row r="388" spans="2:12" ht="15" customHeight="1" x14ac:dyDescent="0.25">
      <c r="B388" s="153" t="s">
        <v>15</v>
      </c>
      <c r="C388" s="17" t="s">
        <v>144</v>
      </c>
      <c r="D388" s="17">
        <v>3</v>
      </c>
      <c r="E388" s="146">
        <v>2</v>
      </c>
      <c r="F388" s="146">
        <v>3</v>
      </c>
      <c r="G388" s="147">
        <v>3</v>
      </c>
      <c r="H388" s="147">
        <v>323</v>
      </c>
      <c r="I388" s="218" t="s">
        <v>147</v>
      </c>
      <c r="J388" s="224">
        <v>563</v>
      </c>
      <c r="K388" s="244">
        <f>31500+425000</f>
        <v>456500</v>
      </c>
      <c r="L388" s="217">
        <v>456500</v>
      </c>
    </row>
    <row r="389" spans="2:12" x14ac:dyDescent="0.25">
      <c r="B389" s="153" t="s">
        <v>15</v>
      </c>
      <c r="C389" s="17" t="s">
        <v>144</v>
      </c>
      <c r="D389" s="17">
        <v>3</v>
      </c>
      <c r="E389" s="146">
        <v>2</v>
      </c>
      <c r="F389" s="146">
        <v>3</v>
      </c>
      <c r="G389" s="147">
        <v>5</v>
      </c>
      <c r="H389" s="147">
        <v>323</v>
      </c>
      <c r="I389" s="218" t="s">
        <v>59</v>
      </c>
      <c r="J389" s="224">
        <v>563</v>
      </c>
      <c r="K389" s="244">
        <v>1139000</v>
      </c>
      <c r="L389" s="217">
        <v>569500</v>
      </c>
    </row>
    <row r="390" spans="2:12" ht="14.25" customHeight="1" x14ac:dyDescent="0.25">
      <c r="B390" s="153" t="s">
        <v>15</v>
      </c>
      <c r="C390" s="17" t="s">
        <v>144</v>
      </c>
      <c r="D390" s="17">
        <v>3</v>
      </c>
      <c r="E390" s="146">
        <v>2</v>
      </c>
      <c r="F390" s="146">
        <v>3</v>
      </c>
      <c r="G390" s="147">
        <v>7</v>
      </c>
      <c r="H390" s="147">
        <v>323</v>
      </c>
      <c r="I390" s="218" t="s">
        <v>61</v>
      </c>
      <c r="J390" s="224">
        <v>563</v>
      </c>
      <c r="K390" s="244">
        <f>190000+2040000</f>
        <v>2230000</v>
      </c>
      <c r="L390" s="217">
        <v>2230000</v>
      </c>
    </row>
    <row r="391" spans="2:12" ht="14.25" customHeight="1" x14ac:dyDescent="0.25">
      <c r="B391" s="153" t="s">
        <v>15</v>
      </c>
      <c r="C391" s="17" t="s">
        <v>144</v>
      </c>
      <c r="D391" s="17">
        <v>3</v>
      </c>
      <c r="E391" s="146">
        <v>2</v>
      </c>
      <c r="F391" s="146">
        <v>3</v>
      </c>
      <c r="G391" s="147">
        <v>9</v>
      </c>
      <c r="H391" s="147">
        <v>323</v>
      </c>
      <c r="I391" s="218" t="s">
        <v>86</v>
      </c>
      <c r="J391" s="224">
        <v>563</v>
      </c>
      <c r="K391" s="244">
        <v>8500</v>
      </c>
      <c r="L391" s="217">
        <v>8500</v>
      </c>
    </row>
    <row r="392" spans="2:12" ht="15" customHeight="1" x14ac:dyDescent="0.25">
      <c r="B392" s="153" t="s">
        <v>15</v>
      </c>
      <c r="C392" s="17" t="s">
        <v>144</v>
      </c>
      <c r="D392" s="17">
        <v>3</v>
      </c>
      <c r="E392" s="146">
        <v>2</v>
      </c>
      <c r="F392" s="146">
        <v>9</v>
      </c>
      <c r="G392" s="147">
        <v>3</v>
      </c>
      <c r="H392" s="147">
        <v>329</v>
      </c>
      <c r="I392" s="218" t="s">
        <v>65</v>
      </c>
      <c r="J392" s="224">
        <v>563</v>
      </c>
      <c r="K392" s="244">
        <v>85000</v>
      </c>
      <c r="L392" s="217">
        <v>85000</v>
      </c>
    </row>
    <row r="393" spans="2:12" ht="15" customHeight="1" x14ac:dyDescent="0.25">
      <c r="B393" s="153" t="s">
        <v>15</v>
      </c>
      <c r="C393" s="17" t="s">
        <v>144</v>
      </c>
      <c r="D393" s="17">
        <v>3</v>
      </c>
      <c r="E393" s="146">
        <v>6</v>
      </c>
      <c r="F393" s="146">
        <v>8</v>
      </c>
      <c r="G393" s="147">
        <v>2</v>
      </c>
      <c r="H393" s="147">
        <v>368</v>
      </c>
      <c r="I393" s="164" t="s">
        <v>152</v>
      </c>
      <c r="J393" s="224">
        <v>563</v>
      </c>
      <c r="K393" s="244">
        <v>400000000</v>
      </c>
      <c r="L393" s="217">
        <v>380000000</v>
      </c>
    </row>
    <row r="394" spans="2:12" ht="25.5" x14ac:dyDescent="0.25">
      <c r="B394" s="153" t="s">
        <v>15</v>
      </c>
      <c r="C394" s="17" t="s">
        <v>144</v>
      </c>
      <c r="D394" s="17">
        <v>3</v>
      </c>
      <c r="E394" s="146">
        <v>6</v>
      </c>
      <c r="F394" s="146">
        <v>9</v>
      </c>
      <c r="G394" s="147">
        <v>4</v>
      </c>
      <c r="H394" s="147">
        <v>369</v>
      </c>
      <c r="I394" s="230" t="s">
        <v>153</v>
      </c>
      <c r="J394" s="224">
        <v>563</v>
      </c>
      <c r="K394" s="244">
        <v>0</v>
      </c>
      <c r="L394" s="217">
        <v>42288</v>
      </c>
    </row>
    <row r="395" spans="2:12" ht="15" customHeight="1" x14ac:dyDescent="0.25">
      <c r="B395" s="153" t="s">
        <v>15</v>
      </c>
      <c r="C395" s="17" t="s">
        <v>144</v>
      </c>
      <c r="D395" s="17">
        <v>3</v>
      </c>
      <c r="E395" s="146">
        <v>8</v>
      </c>
      <c r="F395" s="146">
        <v>2</v>
      </c>
      <c r="G395" s="147">
        <v>3</v>
      </c>
      <c r="H395" s="147">
        <v>382</v>
      </c>
      <c r="I395" s="164" t="s">
        <v>154</v>
      </c>
      <c r="J395" s="224">
        <v>563</v>
      </c>
      <c r="K395" s="244">
        <v>7000000</v>
      </c>
      <c r="L395" s="217">
        <v>7000000</v>
      </c>
    </row>
    <row r="396" spans="2:12" ht="15" customHeight="1" x14ac:dyDescent="0.25">
      <c r="B396" s="153" t="s">
        <v>15</v>
      </c>
      <c r="C396" s="17" t="s">
        <v>144</v>
      </c>
      <c r="D396" s="17">
        <v>4</v>
      </c>
      <c r="E396" s="146">
        <v>1</v>
      </c>
      <c r="F396" s="146">
        <v>2</v>
      </c>
      <c r="G396" s="147">
        <v>3</v>
      </c>
      <c r="H396" s="147">
        <v>412</v>
      </c>
      <c r="I396" s="200" t="s">
        <v>101</v>
      </c>
      <c r="J396" s="224">
        <v>563</v>
      </c>
      <c r="K396" s="244">
        <v>127500</v>
      </c>
      <c r="L396" s="217">
        <v>127500</v>
      </c>
    </row>
    <row r="397" spans="2:12" ht="15" customHeight="1" x14ac:dyDescent="0.25">
      <c r="B397" s="153" t="s">
        <v>15</v>
      </c>
      <c r="C397" s="17" t="s">
        <v>144</v>
      </c>
      <c r="D397" s="17">
        <v>4</v>
      </c>
      <c r="E397" s="146">
        <v>2</v>
      </c>
      <c r="F397" s="146">
        <v>2</v>
      </c>
      <c r="G397" s="147">
        <v>1</v>
      </c>
      <c r="H397" s="147">
        <v>422</v>
      </c>
      <c r="I397" s="200" t="s">
        <v>95</v>
      </c>
      <c r="J397" s="224">
        <v>563</v>
      </c>
      <c r="K397" s="244">
        <v>85000</v>
      </c>
      <c r="L397" s="217">
        <v>85000</v>
      </c>
    </row>
    <row r="398" spans="2:12" ht="15" customHeight="1" x14ac:dyDescent="0.25">
      <c r="B398" s="153" t="s">
        <v>15</v>
      </c>
      <c r="C398" s="17" t="s">
        <v>144</v>
      </c>
      <c r="D398" s="17">
        <v>4</v>
      </c>
      <c r="E398" s="146">
        <v>2</v>
      </c>
      <c r="F398" s="146">
        <v>6</v>
      </c>
      <c r="G398" s="147">
        <v>2</v>
      </c>
      <c r="H398" s="147">
        <v>426</v>
      </c>
      <c r="I398" s="200" t="s">
        <v>79</v>
      </c>
      <c r="J398" s="224">
        <v>563</v>
      </c>
      <c r="K398" s="244">
        <v>170000</v>
      </c>
      <c r="L398" s="217">
        <v>170000</v>
      </c>
    </row>
    <row r="399" spans="2:12" ht="15" customHeight="1" x14ac:dyDescent="0.25">
      <c r="B399" s="153" t="s">
        <v>15</v>
      </c>
      <c r="C399" s="17" t="s">
        <v>144</v>
      </c>
      <c r="D399" s="17">
        <v>5</v>
      </c>
      <c r="E399" s="146">
        <v>1</v>
      </c>
      <c r="F399" s="146">
        <v>8</v>
      </c>
      <c r="G399" s="147">
        <v>1</v>
      </c>
      <c r="H399" s="147">
        <v>518</v>
      </c>
      <c r="I399" s="200" t="s">
        <v>155</v>
      </c>
      <c r="J399" s="224">
        <v>563</v>
      </c>
      <c r="K399" s="244">
        <v>100700000</v>
      </c>
      <c r="L399" s="217">
        <v>25700000</v>
      </c>
    </row>
    <row r="400" spans="2:12" ht="38.25" x14ac:dyDescent="0.25">
      <c r="B400" s="2" t="s">
        <v>15</v>
      </c>
      <c r="C400" s="3" t="s">
        <v>144</v>
      </c>
      <c r="D400" s="3"/>
      <c r="E400" s="4"/>
      <c r="F400" s="4"/>
      <c r="G400" s="4"/>
      <c r="H400" s="5" t="s">
        <v>4</v>
      </c>
      <c r="I400" s="6" t="s">
        <v>145</v>
      </c>
      <c r="J400" s="312">
        <v>52</v>
      </c>
      <c r="K400" s="236">
        <f>SUM(K405:K406)</f>
        <v>5001000</v>
      </c>
      <c r="L400" s="349">
        <v>5001000</v>
      </c>
    </row>
    <row r="401" spans="2:14" ht="25.5" x14ac:dyDescent="0.25">
      <c r="B401" s="351" t="s">
        <v>15</v>
      </c>
      <c r="C401" s="352" t="s">
        <v>144</v>
      </c>
      <c r="D401" s="352"/>
      <c r="E401" s="353"/>
      <c r="F401" s="353"/>
      <c r="G401" s="354"/>
      <c r="H401" s="354">
        <v>36</v>
      </c>
      <c r="I401" s="362" t="s">
        <v>82</v>
      </c>
      <c r="J401" s="312">
        <v>52</v>
      </c>
      <c r="K401" s="377">
        <f t="shared" ref="K401" si="76">K403</f>
        <v>5000000</v>
      </c>
      <c r="L401" s="378">
        <v>5000000</v>
      </c>
    </row>
    <row r="402" spans="2:14" x14ac:dyDescent="0.25">
      <c r="B402" s="351" t="s">
        <v>15</v>
      </c>
      <c r="C402" s="352" t="s">
        <v>144</v>
      </c>
      <c r="D402" s="352"/>
      <c r="E402" s="353"/>
      <c r="F402" s="353"/>
      <c r="G402" s="354"/>
      <c r="H402" s="354">
        <v>38</v>
      </c>
      <c r="I402" s="355" t="s">
        <v>29</v>
      </c>
      <c r="J402" s="312">
        <v>52</v>
      </c>
      <c r="K402" s="377">
        <f t="shared" ref="K402" si="77">K404</f>
        <v>1000</v>
      </c>
      <c r="L402" s="378">
        <v>1000</v>
      </c>
    </row>
    <row r="403" spans="2:14" x14ac:dyDescent="0.25">
      <c r="B403" s="251" t="s">
        <v>15</v>
      </c>
      <c r="C403" s="260" t="s">
        <v>144</v>
      </c>
      <c r="D403" s="253"/>
      <c r="E403" s="254"/>
      <c r="F403" s="254"/>
      <c r="G403" s="255"/>
      <c r="H403" s="255">
        <v>368</v>
      </c>
      <c r="I403" s="256" t="s">
        <v>149</v>
      </c>
      <c r="J403" s="312">
        <v>52</v>
      </c>
      <c r="K403" s="267">
        <f t="shared" ref="K403:K404" si="78">K405</f>
        <v>5000000</v>
      </c>
      <c r="L403" s="268">
        <v>5000000</v>
      </c>
    </row>
    <row r="404" spans="2:14" x14ac:dyDescent="0.25">
      <c r="B404" s="251" t="s">
        <v>15</v>
      </c>
      <c r="C404" s="260" t="s">
        <v>144</v>
      </c>
      <c r="D404" s="253"/>
      <c r="E404" s="254"/>
      <c r="F404" s="254"/>
      <c r="G404" s="255"/>
      <c r="H404" s="255">
        <v>382</v>
      </c>
      <c r="I404" s="256" t="s">
        <v>150</v>
      </c>
      <c r="J404" s="312">
        <v>52</v>
      </c>
      <c r="K404" s="267">
        <f t="shared" si="78"/>
        <v>1000</v>
      </c>
      <c r="L404" s="268">
        <v>1000</v>
      </c>
    </row>
    <row r="405" spans="2:14" ht="15" customHeight="1" x14ac:dyDescent="0.25">
      <c r="B405" s="153" t="s">
        <v>15</v>
      </c>
      <c r="C405" s="17" t="s">
        <v>144</v>
      </c>
      <c r="D405" s="17">
        <v>3</v>
      </c>
      <c r="E405" s="146">
        <v>6</v>
      </c>
      <c r="F405" s="146">
        <v>8</v>
      </c>
      <c r="G405" s="147">
        <v>2</v>
      </c>
      <c r="H405" s="147">
        <v>368</v>
      </c>
      <c r="I405" s="164" t="s">
        <v>152</v>
      </c>
      <c r="J405" s="313">
        <v>52</v>
      </c>
      <c r="K405" s="244">
        <v>5000000</v>
      </c>
      <c r="L405" s="217">
        <v>5000000</v>
      </c>
    </row>
    <row r="406" spans="2:14" ht="15" customHeight="1" x14ac:dyDescent="0.25">
      <c r="B406" s="153" t="s">
        <v>15</v>
      </c>
      <c r="C406" s="17" t="s">
        <v>144</v>
      </c>
      <c r="D406" s="17">
        <v>3</v>
      </c>
      <c r="E406" s="146">
        <v>8</v>
      </c>
      <c r="F406" s="146">
        <v>2</v>
      </c>
      <c r="G406" s="147">
        <v>3</v>
      </c>
      <c r="H406" s="147">
        <v>382</v>
      </c>
      <c r="I406" s="218" t="s">
        <v>154</v>
      </c>
      <c r="J406" s="313">
        <v>52</v>
      </c>
      <c r="K406" s="244">
        <v>1000</v>
      </c>
      <c r="L406" s="217">
        <v>1000</v>
      </c>
      <c r="M406" s="413"/>
    </row>
    <row r="407" spans="2:14" ht="25.5" x14ac:dyDescent="0.25">
      <c r="B407" s="2" t="s">
        <v>15</v>
      </c>
      <c r="C407" s="3" t="s">
        <v>156</v>
      </c>
      <c r="D407" s="3"/>
      <c r="E407" s="4"/>
      <c r="F407" s="4"/>
      <c r="G407" s="4"/>
      <c r="H407" s="5" t="s">
        <v>4</v>
      </c>
      <c r="I407" s="6" t="s">
        <v>157</v>
      </c>
      <c r="J407" s="78">
        <v>12</v>
      </c>
      <c r="K407" s="236">
        <f>SUM(K414:K418)</f>
        <v>975380</v>
      </c>
      <c r="L407" s="349">
        <f>SUM(L414:L418)</f>
        <v>1458552</v>
      </c>
    </row>
    <row r="408" spans="2:14" x14ac:dyDescent="0.25">
      <c r="B408" s="351" t="s">
        <v>15</v>
      </c>
      <c r="C408" s="352" t="s">
        <v>156</v>
      </c>
      <c r="D408" s="352"/>
      <c r="E408" s="353"/>
      <c r="F408" s="353"/>
      <c r="G408" s="354"/>
      <c r="H408" s="354">
        <v>31</v>
      </c>
      <c r="I408" s="355" t="s">
        <v>26</v>
      </c>
      <c r="J408" s="78">
        <v>12</v>
      </c>
      <c r="K408" s="377">
        <f t="shared" ref="K408:L408" si="79">K410+K411</f>
        <v>839600</v>
      </c>
      <c r="L408" s="378">
        <f t="shared" si="79"/>
        <v>1202772</v>
      </c>
    </row>
    <row r="409" spans="2:14" x14ac:dyDescent="0.25">
      <c r="B409" s="351" t="s">
        <v>15</v>
      </c>
      <c r="C409" s="352" t="s">
        <v>156</v>
      </c>
      <c r="D409" s="352"/>
      <c r="E409" s="353"/>
      <c r="F409" s="353"/>
      <c r="G409" s="354"/>
      <c r="H409" s="354">
        <v>32</v>
      </c>
      <c r="I409" s="355" t="s">
        <v>27</v>
      </c>
      <c r="J409" s="78">
        <v>12</v>
      </c>
      <c r="K409" s="377">
        <f>K412+K413</f>
        <v>135780</v>
      </c>
      <c r="L409" s="378">
        <f>L412+L413</f>
        <v>255780</v>
      </c>
      <c r="N409" s="413"/>
    </row>
    <row r="410" spans="2:14" x14ac:dyDescent="0.25">
      <c r="B410" s="251" t="s">
        <v>15</v>
      </c>
      <c r="C410" s="260" t="s">
        <v>156</v>
      </c>
      <c r="D410" s="253"/>
      <c r="E410" s="254"/>
      <c r="F410" s="254"/>
      <c r="G410" s="255"/>
      <c r="H410" s="255">
        <v>311</v>
      </c>
      <c r="I410" s="256" t="s">
        <v>31</v>
      </c>
      <c r="J410" s="223">
        <v>12</v>
      </c>
      <c r="K410" s="267">
        <f t="shared" ref="K410:L412" si="80">K414</f>
        <v>720687</v>
      </c>
      <c r="L410" s="268">
        <f t="shared" si="80"/>
        <v>1036872</v>
      </c>
      <c r="N410" s="413"/>
    </row>
    <row r="411" spans="2:14" ht="15" customHeight="1" x14ac:dyDescent="0.25">
      <c r="B411" s="251" t="s">
        <v>15</v>
      </c>
      <c r="C411" s="260" t="s">
        <v>156</v>
      </c>
      <c r="D411" s="253"/>
      <c r="E411" s="254"/>
      <c r="F411" s="254"/>
      <c r="G411" s="255"/>
      <c r="H411" s="255">
        <v>313</v>
      </c>
      <c r="I411" s="256" t="s">
        <v>33</v>
      </c>
      <c r="J411" s="223">
        <v>12</v>
      </c>
      <c r="K411" s="267">
        <f t="shared" si="80"/>
        <v>118913</v>
      </c>
      <c r="L411" s="268">
        <f t="shared" si="80"/>
        <v>165900</v>
      </c>
    </row>
    <row r="412" spans="2:14" ht="15" customHeight="1" x14ac:dyDescent="0.25">
      <c r="B412" s="251" t="s">
        <v>15</v>
      </c>
      <c r="C412" s="260" t="s">
        <v>156</v>
      </c>
      <c r="D412" s="253"/>
      <c r="E412" s="254"/>
      <c r="F412" s="254"/>
      <c r="G412" s="255"/>
      <c r="H412" s="255">
        <v>321</v>
      </c>
      <c r="I412" s="256" t="s">
        <v>34</v>
      </c>
      <c r="J412" s="223">
        <v>12</v>
      </c>
      <c r="K412" s="267">
        <f t="shared" si="80"/>
        <v>98280</v>
      </c>
      <c r="L412" s="268">
        <f t="shared" si="80"/>
        <v>98280</v>
      </c>
    </row>
    <row r="413" spans="2:14" ht="15" customHeight="1" x14ac:dyDescent="0.25">
      <c r="B413" s="251" t="s">
        <v>15</v>
      </c>
      <c r="C413" s="260" t="s">
        <v>156</v>
      </c>
      <c r="D413" s="253"/>
      <c r="E413" s="254"/>
      <c r="F413" s="254"/>
      <c r="G413" s="255"/>
      <c r="H413" s="255">
        <v>323</v>
      </c>
      <c r="I413" s="256" t="s">
        <v>36</v>
      </c>
      <c r="J413" s="223">
        <v>12</v>
      </c>
      <c r="K413" s="267">
        <f>K418+K417</f>
        <v>37500</v>
      </c>
      <c r="L413" s="268">
        <f>L418+L417</f>
        <v>157500</v>
      </c>
    </row>
    <row r="414" spans="2:14" ht="15.75" customHeight="1" x14ac:dyDescent="0.25">
      <c r="B414" s="153" t="s">
        <v>15</v>
      </c>
      <c r="C414" s="17" t="s">
        <v>156</v>
      </c>
      <c r="D414" s="154">
        <v>3</v>
      </c>
      <c r="E414" s="162">
        <v>1</v>
      </c>
      <c r="F414" s="162">
        <v>1</v>
      </c>
      <c r="G414" s="163">
        <v>1</v>
      </c>
      <c r="H414" s="163">
        <v>311</v>
      </c>
      <c r="I414" s="194" t="s">
        <v>42</v>
      </c>
      <c r="J414" s="223">
        <v>12</v>
      </c>
      <c r="K414" s="201">
        <v>720687</v>
      </c>
      <c r="L414" s="217">
        <v>1036872</v>
      </c>
    </row>
    <row r="415" spans="2:14" ht="15" customHeight="1" x14ac:dyDescent="0.25">
      <c r="B415" s="153" t="s">
        <v>15</v>
      </c>
      <c r="C415" s="17" t="s">
        <v>156</v>
      </c>
      <c r="D415" s="17">
        <v>3</v>
      </c>
      <c r="E415" s="146">
        <v>1</v>
      </c>
      <c r="F415" s="146">
        <v>3</v>
      </c>
      <c r="G415" s="147">
        <v>2</v>
      </c>
      <c r="H415" s="147">
        <v>313</v>
      </c>
      <c r="I415" s="164" t="s">
        <v>44</v>
      </c>
      <c r="J415" s="223">
        <v>12</v>
      </c>
      <c r="K415" s="201">
        <v>118913</v>
      </c>
      <c r="L415" s="217">
        <v>165900</v>
      </c>
    </row>
    <row r="416" spans="2:14" ht="15" customHeight="1" x14ac:dyDescent="0.25">
      <c r="B416" s="153" t="s">
        <v>15</v>
      </c>
      <c r="C416" s="17" t="s">
        <v>156</v>
      </c>
      <c r="D416" s="17">
        <v>3</v>
      </c>
      <c r="E416" s="146">
        <v>2</v>
      </c>
      <c r="F416" s="146">
        <v>1</v>
      </c>
      <c r="G416" s="147">
        <v>1</v>
      </c>
      <c r="H416" s="147">
        <v>321</v>
      </c>
      <c r="I416" s="164" t="s">
        <v>46</v>
      </c>
      <c r="J416" s="223">
        <v>12</v>
      </c>
      <c r="K416" s="201">
        <v>98280</v>
      </c>
      <c r="L416" s="217">
        <v>98280</v>
      </c>
    </row>
    <row r="417" spans="2:14" ht="15" customHeight="1" x14ac:dyDescent="0.25">
      <c r="B417" s="153" t="s">
        <v>15</v>
      </c>
      <c r="C417" s="17" t="s">
        <v>156</v>
      </c>
      <c r="D417" s="17">
        <v>3</v>
      </c>
      <c r="E417" s="146">
        <v>2</v>
      </c>
      <c r="F417" s="146">
        <v>3</v>
      </c>
      <c r="G417" s="147">
        <v>4</v>
      </c>
      <c r="H417" s="147">
        <v>323</v>
      </c>
      <c r="I417" s="164" t="s">
        <v>119</v>
      </c>
      <c r="J417" s="223">
        <v>12</v>
      </c>
      <c r="K417" s="244">
        <v>0</v>
      </c>
      <c r="L417" s="217">
        <v>120000</v>
      </c>
    </row>
    <row r="418" spans="2:14" x14ac:dyDescent="0.25">
      <c r="B418" s="153" t="s">
        <v>15</v>
      </c>
      <c r="C418" s="17" t="s">
        <v>156</v>
      </c>
      <c r="D418" s="17">
        <v>3</v>
      </c>
      <c r="E418" s="146">
        <v>2</v>
      </c>
      <c r="F418" s="146">
        <v>3</v>
      </c>
      <c r="G418" s="147">
        <v>7</v>
      </c>
      <c r="H418" s="147">
        <v>323</v>
      </c>
      <c r="I418" s="164" t="s">
        <v>61</v>
      </c>
      <c r="J418" s="223">
        <v>12</v>
      </c>
      <c r="K418" s="244">
        <v>37500</v>
      </c>
      <c r="L418" s="217">
        <v>37500</v>
      </c>
    </row>
    <row r="419" spans="2:14" ht="25.5" x14ac:dyDescent="0.25">
      <c r="B419" s="2" t="s">
        <v>15</v>
      </c>
      <c r="C419" s="3" t="s">
        <v>156</v>
      </c>
      <c r="D419" s="3"/>
      <c r="E419" s="4"/>
      <c r="F419" s="4"/>
      <c r="G419" s="4"/>
      <c r="H419" s="5" t="s">
        <v>4</v>
      </c>
      <c r="I419" s="6" t="s">
        <v>157</v>
      </c>
      <c r="J419" s="211">
        <v>563</v>
      </c>
      <c r="K419" s="236">
        <f>SUM(K427:K434)</f>
        <v>6233780</v>
      </c>
      <c r="L419" s="349">
        <f>SUM(L427:L434)</f>
        <v>8291983</v>
      </c>
    </row>
    <row r="420" spans="2:14" x14ac:dyDescent="0.25">
      <c r="B420" s="351" t="s">
        <v>15</v>
      </c>
      <c r="C420" s="352" t="s">
        <v>156</v>
      </c>
      <c r="D420" s="352"/>
      <c r="E420" s="353"/>
      <c r="F420" s="353"/>
      <c r="G420" s="354"/>
      <c r="H420" s="354">
        <v>31</v>
      </c>
      <c r="I420" s="355" t="s">
        <v>26</v>
      </c>
      <c r="J420" s="211">
        <v>563</v>
      </c>
      <c r="K420" s="377">
        <f t="shared" ref="K420:L420" si="81">K422+K423</f>
        <v>4757500</v>
      </c>
      <c r="L420" s="378">
        <f t="shared" si="81"/>
        <v>6815703</v>
      </c>
    </row>
    <row r="421" spans="2:14" x14ac:dyDescent="0.25">
      <c r="B421" s="351" t="s">
        <v>15</v>
      </c>
      <c r="C421" s="352" t="s">
        <v>156</v>
      </c>
      <c r="D421" s="352"/>
      <c r="E421" s="353"/>
      <c r="F421" s="353"/>
      <c r="G421" s="354"/>
      <c r="H421" s="354">
        <v>32</v>
      </c>
      <c r="I421" s="355" t="s">
        <v>27</v>
      </c>
      <c r="J421" s="211">
        <v>563</v>
      </c>
      <c r="K421" s="377">
        <f t="shared" ref="K421:L421" si="82">K424+K425+K426</f>
        <v>1476280</v>
      </c>
      <c r="L421" s="378">
        <f t="shared" si="82"/>
        <v>1476280</v>
      </c>
      <c r="N421" s="413"/>
    </row>
    <row r="422" spans="2:14" ht="15" customHeight="1" x14ac:dyDescent="0.25">
      <c r="B422" s="251" t="s">
        <v>15</v>
      </c>
      <c r="C422" s="260" t="s">
        <v>156</v>
      </c>
      <c r="D422" s="253"/>
      <c r="E422" s="254"/>
      <c r="F422" s="254"/>
      <c r="G422" s="255"/>
      <c r="H422" s="255">
        <v>311</v>
      </c>
      <c r="I422" s="256" t="s">
        <v>31</v>
      </c>
      <c r="J422" s="224">
        <v>563</v>
      </c>
      <c r="K422" s="267">
        <f t="shared" ref="K422:L425" si="83">K427</f>
        <v>4083691</v>
      </c>
      <c r="L422" s="268">
        <f t="shared" si="83"/>
        <v>5875606</v>
      </c>
      <c r="N422" s="413"/>
    </row>
    <row r="423" spans="2:14" x14ac:dyDescent="0.25">
      <c r="B423" s="251" t="s">
        <v>15</v>
      </c>
      <c r="C423" s="260" t="s">
        <v>156</v>
      </c>
      <c r="D423" s="253"/>
      <c r="E423" s="254"/>
      <c r="F423" s="254"/>
      <c r="G423" s="255"/>
      <c r="H423" s="255">
        <v>313</v>
      </c>
      <c r="I423" s="256" t="s">
        <v>33</v>
      </c>
      <c r="J423" s="224">
        <v>563</v>
      </c>
      <c r="K423" s="267">
        <f t="shared" si="83"/>
        <v>673809</v>
      </c>
      <c r="L423" s="268">
        <f t="shared" si="83"/>
        <v>940097</v>
      </c>
    </row>
    <row r="424" spans="2:14" x14ac:dyDescent="0.25">
      <c r="B424" s="251" t="s">
        <v>15</v>
      </c>
      <c r="C424" s="260" t="s">
        <v>156</v>
      </c>
      <c r="D424" s="253"/>
      <c r="E424" s="254"/>
      <c r="F424" s="254"/>
      <c r="G424" s="255"/>
      <c r="H424" s="255">
        <v>321</v>
      </c>
      <c r="I424" s="256" t="s">
        <v>34</v>
      </c>
      <c r="J424" s="224">
        <v>563</v>
      </c>
      <c r="K424" s="267">
        <f t="shared" si="83"/>
        <v>556920</v>
      </c>
      <c r="L424" s="268">
        <f t="shared" si="83"/>
        <v>556920</v>
      </c>
    </row>
    <row r="425" spans="2:14" x14ac:dyDescent="0.25">
      <c r="B425" s="251" t="s">
        <v>15</v>
      </c>
      <c r="C425" s="260" t="s">
        <v>156</v>
      </c>
      <c r="D425" s="253"/>
      <c r="E425" s="254"/>
      <c r="F425" s="254"/>
      <c r="G425" s="255"/>
      <c r="H425" s="255">
        <v>322</v>
      </c>
      <c r="I425" s="256" t="s">
        <v>35</v>
      </c>
      <c r="J425" s="224">
        <v>563</v>
      </c>
      <c r="K425" s="267">
        <f t="shared" si="83"/>
        <v>250000</v>
      </c>
      <c r="L425" s="268">
        <f t="shared" si="83"/>
        <v>0</v>
      </c>
    </row>
    <row r="426" spans="2:14" ht="15" customHeight="1" x14ac:dyDescent="0.25">
      <c r="B426" s="251" t="s">
        <v>15</v>
      </c>
      <c r="C426" s="260" t="s">
        <v>156</v>
      </c>
      <c r="D426" s="253"/>
      <c r="E426" s="254"/>
      <c r="F426" s="254"/>
      <c r="G426" s="255"/>
      <c r="H426" s="255">
        <v>323</v>
      </c>
      <c r="I426" s="256" t="s">
        <v>36</v>
      </c>
      <c r="J426" s="224">
        <v>563</v>
      </c>
      <c r="K426" s="267">
        <f>K431+K432+K433+K434</f>
        <v>669360</v>
      </c>
      <c r="L426" s="268">
        <f>L431+L432+L433+L434</f>
        <v>919360</v>
      </c>
    </row>
    <row r="427" spans="2:14" x14ac:dyDescent="0.25">
      <c r="B427" s="153" t="s">
        <v>15</v>
      </c>
      <c r="C427" s="17" t="s">
        <v>156</v>
      </c>
      <c r="D427" s="154">
        <v>3</v>
      </c>
      <c r="E427" s="162">
        <v>1</v>
      </c>
      <c r="F427" s="162">
        <v>1</v>
      </c>
      <c r="G427" s="163">
        <v>1</v>
      </c>
      <c r="H427" s="163">
        <v>311</v>
      </c>
      <c r="I427" s="194" t="s">
        <v>42</v>
      </c>
      <c r="J427" s="224">
        <v>563</v>
      </c>
      <c r="K427" s="201">
        <v>4083691</v>
      </c>
      <c r="L427" s="217">
        <v>5875606</v>
      </c>
    </row>
    <row r="428" spans="2:14" x14ac:dyDescent="0.25">
      <c r="B428" s="153" t="s">
        <v>15</v>
      </c>
      <c r="C428" s="17" t="s">
        <v>156</v>
      </c>
      <c r="D428" s="17">
        <v>3</v>
      </c>
      <c r="E428" s="146">
        <v>1</v>
      </c>
      <c r="F428" s="146">
        <v>3</v>
      </c>
      <c r="G428" s="147">
        <v>2</v>
      </c>
      <c r="H428" s="147">
        <v>313</v>
      </c>
      <c r="I428" s="164" t="s">
        <v>44</v>
      </c>
      <c r="J428" s="224">
        <v>563</v>
      </c>
      <c r="K428" s="201">
        <v>673809</v>
      </c>
      <c r="L428" s="217">
        <v>940097</v>
      </c>
    </row>
    <row r="429" spans="2:14" x14ac:dyDescent="0.25">
      <c r="B429" s="153" t="s">
        <v>15</v>
      </c>
      <c r="C429" s="17" t="s">
        <v>156</v>
      </c>
      <c r="D429" s="17">
        <v>3</v>
      </c>
      <c r="E429" s="146">
        <v>2</v>
      </c>
      <c r="F429" s="146">
        <v>1</v>
      </c>
      <c r="G429" s="147">
        <v>1</v>
      </c>
      <c r="H429" s="147">
        <v>321</v>
      </c>
      <c r="I429" s="164" t="s">
        <v>46</v>
      </c>
      <c r="J429" s="224">
        <v>563</v>
      </c>
      <c r="K429" s="244">
        <v>556920</v>
      </c>
      <c r="L429" s="217">
        <v>556920</v>
      </c>
    </row>
    <row r="430" spans="2:14" ht="15" customHeight="1" x14ac:dyDescent="0.25">
      <c r="B430" s="153" t="s">
        <v>15</v>
      </c>
      <c r="C430" s="17" t="s">
        <v>156</v>
      </c>
      <c r="D430" s="17">
        <v>3</v>
      </c>
      <c r="E430" s="146">
        <v>2</v>
      </c>
      <c r="F430" s="146">
        <v>2</v>
      </c>
      <c r="G430" s="147">
        <v>1</v>
      </c>
      <c r="H430" s="147">
        <v>322</v>
      </c>
      <c r="I430" s="164" t="s">
        <v>50</v>
      </c>
      <c r="J430" s="224">
        <v>563</v>
      </c>
      <c r="K430" s="244">
        <v>250000</v>
      </c>
      <c r="L430" s="217">
        <v>0</v>
      </c>
    </row>
    <row r="431" spans="2:14" x14ac:dyDescent="0.25">
      <c r="B431" s="153" t="s">
        <v>15</v>
      </c>
      <c r="C431" s="17" t="s">
        <v>156</v>
      </c>
      <c r="D431" s="17">
        <v>3</v>
      </c>
      <c r="E431" s="146">
        <v>2</v>
      </c>
      <c r="F431" s="146">
        <v>3</v>
      </c>
      <c r="G431" s="147">
        <v>1</v>
      </c>
      <c r="H431" s="147">
        <v>323</v>
      </c>
      <c r="I431" s="164" t="s">
        <v>146</v>
      </c>
      <c r="J431" s="224">
        <v>563</v>
      </c>
      <c r="K431" s="244">
        <v>250000</v>
      </c>
      <c r="L431" s="217">
        <v>250000</v>
      </c>
    </row>
    <row r="432" spans="2:14" ht="15" customHeight="1" x14ac:dyDescent="0.25">
      <c r="B432" s="153" t="s">
        <v>15</v>
      </c>
      <c r="C432" s="17" t="s">
        <v>156</v>
      </c>
      <c r="D432" s="17">
        <v>3</v>
      </c>
      <c r="E432" s="146">
        <v>2</v>
      </c>
      <c r="F432" s="146">
        <v>3</v>
      </c>
      <c r="G432" s="147">
        <v>4</v>
      </c>
      <c r="H432" s="147">
        <v>323</v>
      </c>
      <c r="I432" s="218" t="s">
        <v>119</v>
      </c>
      <c r="J432" s="224">
        <v>563</v>
      </c>
      <c r="K432" s="244">
        <v>76860</v>
      </c>
      <c r="L432" s="217">
        <v>326860</v>
      </c>
    </row>
    <row r="433" spans="2:14" x14ac:dyDescent="0.25">
      <c r="B433" s="153" t="s">
        <v>15</v>
      </c>
      <c r="C433" s="17" t="s">
        <v>156</v>
      </c>
      <c r="D433" s="17">
        <v>3</v>
      </c>
      <c r="E433" s="146">
        <v>2</v>
      </c>
      <c r="F433" s="146">
        <v>3</v>
      </c>
      <c r="G433" s="147">
        <v>5</v>
      </c>
      <c r="H433" s="147">
        <v>323</v>
      </c>
      <c r="I433" s="218" t="s">
        <v>59</v>
      </c>
      <c r="J433" s="224">
        <v>563</v>
      </c>
      <c r="K433" s="244">
        <v>130000</v>
      </c>
      <c r="L433" s="217">
        <v>130000</v>
      </c>
    </row>
    <row r="434" spans="2:14" ht="14.25" customHeight="1" x14ac:dyDescent="0.25">
      <c r="B434" s="153" t="s">
        <v>15</v>
      </c>
      <c r="C434" s="17" t="s">
        <v>156</v>
      </c>
      <c r="D434" s="17">
        <v>3</v>
      </c>
      <c r="E434" s="146">
        <v>2</v>
      </c>
      <c r="F434" s="146">
        <v>3</v>
      </c>
      <c r="G434" s="147">
        <v>7</v>
      </c>
      <c r="H434" s="147">
        <v>323</v>
      </c>
      <c r="I434" s="218" t="s">
        <v>61</v>
      </c>
      <c r="J434" s="224">
        <v>563</v>
      </c>
      <c r="K434" s="244">
        <v>212500</v>
      </c>
      <c r="L434" s="217">
        <v>212500</v>
      </c>
    </row>
    <row r="435" spans="2:14" ht="25.5" x14ac:dyDescent="0.25">
      <c r="B435" s="65" t="s">
        <v>23</v>
      </c>
      <c r="C435" s="58" t="s">
        <v>158</v>
      </c>
      <c r="D435" s="58"/>
      <c r="E435" s="59"/>
      <c r="F435" s="59"/>
      <c r="G435" s="59"/>
      <c r="H435" s="60" t="s">
        <v>4</v>
      </c>
      <c r="I435" s="61" t="s">
        <v>159</v>
      </c>
      <c r="J435" s="310">
        <v>11</v>
      </c>
      <c r="K435" s="236">
        <f>SUM(K442:K446)</f>
        <v>2460000</v>
      </c>
      <c r="L435" s="349">
        <f>SUM(L442:L446)</f>
        <v>2460000</v>
      </c>
    </row>
    <row r="436" spans="2:14" x14ac:dyDescent="0.25">
      <c r="B436" s="364" t="s">
        <v>23</v>
      </c>
      <c r="C436" s="365" t="s">
        <v>158</v>
      </c>
      <c r="D436" s="366"/>
      <c r="E436" s="367"/>
      <c r="F436" s="367"/>
      <c r="G436" s="369"/>
      <c r="H436" s="370">
        <v>32</v>
      </c>
      <c r="I436" s="355" t="s">
        <v>27</v>
      </c>
      <c r="J436" s="310">
        <v>11</v>
      </c>
      <c r="K436" s="377">
        <f>K438+K439+K440</f>
        <v>2440000</v>
      </c>
      <c r="L436" s="378">
        <f>L438+L439+L440</f>
        <v>2440000</v>
      </c>
    </row>
    <row r="437" spans="2:14" ht="25.5" x14ac:dyDescent="0.25">
      <c r="B437" s="364" t="s">
        <v>23</v>
      </c>
      <c r="C437" s="365" t="s">
        <v>158</v>
      </c>
      <c r="D437" s="366"/>
      <c r="E437" s="367"/>
      <c r="F437" s="367"/>
      <c r="G437" s="370"/>
      <c r="H437" s="370">
        <v>42</v>
      </c>
      <c r="I437" s="355" t="s">
        <v>30</v>
      </c>
      <c r="J437" s="310">
        <v>11</v>
      </c>
      <c r="K437" s="377">
        <f>K441</f>
        <v>20000</v>
      </c>
      <c r="L437" s="378">
        <f>L441</f>
        <v>20000</v>
      </c>
    </row>
    <row r="438" spans="2:14" x14ac:dyDescent="0.25">
      <c r="B438" s="284" t="s">
        <v>23</v>
      </c>
      <c r="C438" s="260" t="s">
        <v>158</v>
      </c>
      <c r="D438" s="273"/>
      <c r="E438" s="274"/>
      <c r="F438" s="274"/>
      <c r="G438" s="275"/>
      <c r="H438" s="276">
        <v>323</v>
      </c>
      <c r="I438" s="277" t="s">
        <v>36</v>
      </c>
      <c r="J438" s="310">
        <v>11</v>
      </c>
      <c r="K438" s="267">
        <f>K442</f>
        <v>2200000</v>
      </c>
      <c r="L438" s="268">
        <f>L442</f>
        <v>2200000</v>
      </c>
      <c r="N438" s="413"/>
    </row>
    <row r="439" spans="2:14" x14ac:dyDescent="0.25">
      <c r="B439" s="284" t="s">
        <v>23</v>
      </c>
      <c r="C439" s="260" t="s">
        <v>158</v>
      </c>
      <c r="D439" s="273"/>
      <c r="E439" s="274"/>
      <c r="F439" s="274"/>
      <c r="G439" s="276"/>
      <c r="H439" s="276">
        <v>324</v>
      </c>
      <c r="I439" s="277" t="s">
        <v>37</v>
      </c>
      <c r="J439" s="310">
        <v>11</v>
      </c>
      <c r="K439" s="267">
        <f t="shared" ref="K439:L440" si="84">K443</f>
        <v>80000</v>
      </c>
      <c r="L439" s="268">
        <f t="shared" si="84"/>
        <v>80000</v>
      </c>
    </row>
    <row r="440" spans="2:14" x14ac:dyDescent="0.25">
      <c r="B440" s="284" t="s">
        <v>23</v>
      </c>
      <c r="C440" s="260" t="s">
        <v>158</v>
      </c>
      <c r="D440" s="273"/>
      <c r="E440" s="274"/>
      <c r="F440" s="274"/>
      <c r="G440" s="276"/>
      <c r="H440" s="276">
        <v>329</v>
      </c>
      <c r="I440" s="277" t="s">
        <v>38</v>
      </c>
      <c r="J440" s="310">
        <v>11</v>
      </c>
      <c r="K440" s="267">
        <f t="shared" si="84"/>
        <v>160000</v>
      </c>
      <c r="L440" s="268">
        <f t="shared" si="84"/>
        <v>160000</v>
      </c>
    </row>
    <row r="441" spans="2:14" x14ac:dyDescent="0.25">
      <c r="B441" s="284" t="s">
        <v>23</v>
      </c>
      <c r="C441" s="260" t="s">
        <v>158</v>
      </c>
      <c r="D441" s="273"/>
      <c r="E441" s="274"/>
      <c r="F441" s="274"/>
      <c r="G441" s="276"/>
      <c r="H441" s="276">
        <v>422</v>
      </c>
      <c r="I441" s="277" t="s">
        <v>94</v>
      </c>
      <c r="J441" s="310">
        <v>11</v>
      </c>
      <c r="K441" s="267">
        <f>K445+K446</f>
        <v>20000</v>
      </c>
      <c r="L441" s="268">
        <f>L445+L446</f>
        <v>20000</v>
      </c>
    </row>
    <row r="442" spans="2:14" x14ac:dyDescent="0.25">
      <c r="B442" s="16" t="s">
        <v>23</v>
      </c>
      <c r="C442" s="17" t="s">
        <v>158</v>
      </c>
      <c r="D442" s="54">
        <v>3</v>
      </c>
      <c r="E442" s="55">
        <v>2</v>
      </c>
      <c r="F442" s="55">
        <v>3</v>
      </c>
      <c r="G442" s="55">
        <v>7</v>
      </c>
      <c r="H442" s="176">
        <v>323</v>
      </c>
      <c r="I442" s="177" t="s">
        <v>109</v>
      </c>
      <c r="J442" s="113">
        <v>11</v>
      </c>
      <c r="K442" s="201">
        <v>2200000</v>
      </c>
      <c r="L442" s="217">
        <v>2200000</v>
      </c>
    </row>
    <row r="443" spans="2:14" x14ac:dyDescent="0.25">
      <c r="B443" s="16" t="s">
        <v>23</v>
      </c>
      <c r="C443" s="17" t="s">
        <v>158</v>
      </c>
      <c r="D443" s="54">
        <v>3</v>
      </c>
      <c r="E443" s="55">
        <v>2</v>
      </c>
      <c r="F443" s="55">
        <v>4</v>
      </c>
      <c r="G443" s="55">
        <v>1</v>
      </c>
      <c r="H443" s="176">
        <v>324</v>
      </c>
      <c r="I443" s="177" t="s">
        <v>37</v>
      </c>
      <c r="J443" s="113">
        <v>11</v>
      </c>
      <c r="K443" s="201">
        <v>80000</v>
      </c>
      <c r="L443" s="217">
        <v>80000</v>
      </c>
    </row>
    <row r="444" spans="2:14" x14ac:dyDescent="0.25">
      <c r="B444" s="16" t="s">
        <v>23</v>
      </c>
      <c r="C444" s="17" t="s">
        <v>158</v>
      </c>
      <c r="D444" s="54">
        <v>3</v>
      </c>
      <c r="E444" s="55">
        <v>2</v>
      </c>
      <c r="F444" s="55">
        <v>9</v>
      </c>
      <c r="G444" s="55">
        <v>1</v>
      </c>
      <c r="H444" s="176">
        <v>329</v>
      </c>
      <c r="I444" s="177" t="s">
        <v>63</v>
      </c>
      <c r="J444" s="113">
        <v>11</v>
      </c>
      <c r="K444" s="201">
        <v>160000</v>
      </c>
      <c r="L444" s="217">
        <v>160000</v>
      </c>
    </row>
    <row r="445" spans="2:14" x14ac:dyDescent="0.25">
      <c r="B445" s="16" t="s">
        <v>23</v>
      </c>
      <c r="C445" s="17" t="s">
        <v>158</v>
      </c>
      <c r="D445" s="54">
        <v>4</v>
      </c>
      <c r="E445" s="55">
        <v>2</v>
      </c>
      <c r="F445" s="55">
        <v>2</v>
      </c>
      <c r="G445" s="55">
        <v>2</v>
      </c>
      <c r="H445" s="176">
        <v>422</v>
      </c>
      <c r="I445" s="177" t="s">
        <v>122</v>
      </c>
      <c r="J445" s="113">
        <v>11</v>
      </c>
      <c r="K445" s="201">
        <v>10000</v>
      </c>
      <c r="L445" s="217">
        <v>10000</v>
      </c>
    </row>
    <row r="446" spans="2:14" x14ac:dyDescent="0.25">
      <c r="B446" s="16" t="s">
        <v>23</v>
      </c>
      <c r="C446" s="17" t="s">
        <v>158</v>
      </c>
      <c r="D446" s="54">
        <v>4</v>
      </c>
      <c r="E446" s="55">
        <v>2</v>
      </c>
      <c r="F446" s="55">
        <v>2</v>
      </c>
      <c r="G446" s="55">
        <v>3</v>
      </c>
      <c r="H446" s="176">
        <v>422</v>
      </c>
      <c r="I446" s="177" t="s">
        <v>133</v>
      </c>
      <c r="J446" s="113">
        <v>11</v>
      </c>
      <c r="K446" s="201">
        <v>10000</v>
      </c>
      <c r="L446" s="217">
        <v>10000</v>
      </c>
    </row>
    <row r="447" spans="2:14" ht="25.5" x14ac:dyDescent="0.25">
      <c r="B447" s="65" t="s">
        <v>23</v>
      </c>
      <c r="C447" s="58" t="s">
        <v>158</v>
      </c>
      <c r="D447" s="58"/>
      <c r="E447" s="59"/>
      <c r="F447" s="59"/>
      <c r="G447" s="60"/>
      <c r="H447" s="60" t="s">
        <v>4</v>
      </c>
      <c r="I447" s="61" t="s">
        <v>160</v>
      </c>
      <c r="J447" s="78">
        <v>12</v>
      </c>
      <c r="K447" s="236">
        <f>SUM(K459:K470)</f>
        <v>12219245</v>
      </c>
      <c r="L447" s="349">
        <f>SUM(L459:L470)</f>
        <v>7542789</v>
      </c>
    </row>
    <row r="448" spans="2:14" x14ac:dyDescent="0.25">
      <c r="B448" s="364" t="s">
        <v>23</v>
      </c>
      <c r="C448" s="365" t="s">
        <v>158</v>
      </c>
      <c r="D448" s="366"/>
      <c r="E448" s="367"/>
      <c r="F448" s="367"/>
      <c r="G448" s="370"/>
      <c r="H448" s="370">
        <v>31</v>
      </c>
      <c r="I448" s="355" t="s">
        <v>26</v>
      </c>
      <c r="J448" s="78">
        <v>12</v>
      </c>
      <c r="K448" s="377">
        <f t="shared" ref="K448:L448" si="85">K451+K452</f>
        <v>0</v>
      </c>
      <c r="L448" s="378">
        <f t="shared" si="85"/>
        <v>45000</v>
      </c>
    </row>
    <row r="449" spans="2:14" x14ac:dyDescent="0.25">
      <c r="B449" s="364" t="s">
        <v>23</v>
      </c>
      <c r="C449" s="365" t="s">
        <v>158</v>
      </c>
      <c r="D449" s="366"/>
      <c r="E449" s="367"/>
      <c r="F449" s="367"/>
      <c r="G449" s="370"/>
      <c r="H449" s="370">
        <v>32</v>
      </c>
      <c r="I449" s="355" t="s">
        <v>27</v>
      </c>
      <c r="J449" s="78">
        <v>12</v>
      </c>
      <c r="K449" s="377">
        <f t="shared" ref="K449:L449" si="86">K453+K454+K455+K456</f>
        <v>10357519</v>
      </c>
      <c r="L449" s="378">
        <f t="shared" si="86"/>
        <v>4850123</v>
      </c>
    </row>
    <row r="450" spans="2:14" ht="25.5" x14ac:dyDescent="0.25">
      <c r="B450" s="364" t="s">
        <v>23</v>
      </c>
      <c r="C450" s="365" t="s">
        <v>158</v>
      </c>
      <c r="D450" s="366"/>
      <c r="E450" s="367"/>
      <c r="F450" s="367"/>
      <c r="G450" s="370"/>
      <c r="H450" s="370">
        <v>42</v>
      </c>
      <c r="I450" s="355" t="s">
        <v>30</v>
      </c>
      <c r="J450" s="78">
        <v>12</v>
      </c>
      <c r="K450" s="377">
        <f t="shared" ref="K450:L450" si="87">K457+K458</f>
        <v>1861726</v>
      </c>
      <c r="L450" s="378">
        <f t="shared" si="87"/>
        <v>2647666</v>
      </c>
    </row>
    <row r="451" spans="2:14" x14ac:dyDescent="0.25">
      <c r="B451" s="284" t="s">
        <v>23</v>
      </c>
      <c r="C451" s="260" t="s">
        <v>158</v>
      </c>
      <c r="D451" s="273"/>
      <c r="E451" s="274"/>
      <c r="F451" s="274"/>
      <c r="G451" s="276"/>
      <c r="H451" s="276">
        <v>311</v>
      </c>
      <c r="I451" s="277" t="s">
        <v>31</v>
      </c>
      <c r="J451" s="223">
        <v>12</v>
      </c>
      <c r="K451" s="267">
        <f t="shared" ref="K451:L453" si="88">K459</f>
        <v>0</v>
      </c>
      <c r="L451" s="268">
        <f t="shared" si="88"/>
        <v>30000</v>
      </c>
    </row>
    <row r="452" spans="2:14" x14ac:dyDescent="0.25">
      <c r="B452" s="284" t="s">
        <v>23</v>
      </c>
      <c r="C452" s="260" t="s">
        <v>158</v>
      </c>
      <c r="D452" s="273"/>
      <c r="E452" s="274"/>
      <c r="F452" s="274"/>
      <c r="G452" s="276"/>
      <c r="H452" s="276">
        <v>313</v>
      </c>
      <c r="I452" s="277" t="s">
        <v>33</v>
      </c>
      <c r="J452" s="223">
        <v>12</v>
      </c>
      <c r="K452" s="267">
        <f t="shared" si="88"/>
        <v>0</v>
      </c>
      <c r="L452" s="268">
        <f t="shared" si="88"/>
        <v>15000</v>
      </c>
    </row>
    <row r="453" spans="2:14" x14ac:dyDescent="0.25">
      <c r="B453" s="284" t="s">
        <v>23</v>
      </c>
      <c r="C453" s="260" t="s">
        <v>158</v>
      </c>
      <c r="D453" s="273"/>
      <c r="E453" s="274"/>
      <c r="F453" s="274"/>
      <c r="G453" s="276"/>
      <c r="H453" s="276">
        <v>321</v>
      </c>
      <c r="I453" s="277" t="s">
        <v>34</v>
      </c>
      <c r="J453" s="223">
        <v>12</v>
      </c>
      <c r="K453" s="267">
        <f t="shared" si="88"/>
        <v>14409</v>
      </c>
      <c r="L453" s="268">
        <f t="shared" si="88"/>
        <v>14409</v>
      </c>
      <c r="N453" s="413"/>
    </row>
    <row r="454" spans="2:14" x14ac:dyDescent="0.25">
      <c r="B454" s="284" t="s">
        <v>23</v>
      </c>
      <c r="C454" s="260" t="s">
        <v>158</v>
      </c>
      <c r="D454" s="273"/>
      <c r="E454" s="274"/>
      <c r="F454" s="274"/>
      <c r="G454" s="275"/>
      <c r="H454" s="276">
        <v>323</v>
      </c>
      <c r="I454" s="277" t="s">
        <v>36</v>
      </c>
      <c r="J454" s="223">
        <v>12</v>
      </c>
      <c r="K454" s="267">
        <f>K462+K463+K464+K465</f>
        <v>10286766</v>
      </c>
      <c r="L454" s="268">
        <f>L462+L463+L464+L465</f>
        <v>4779370</v>
      </c>
      <c r="N454" s="413"/>
    </row>
    <row r="455" spans="2:14" x14ac:dyDescent="0.25">
      <c r="B455" s="284" t="s">
        <v>23</v>
      </c>
      <c r="C455" s="260" t="s">
        <v>158</v>
      </c>
      <c r="D455" s="273"/>
      <c r="E455" s="274"/>
      <c r="F455" s="274"/>
      <c r="G455" s="276"/>
      <c r="H455" s="276">
        <v>324</v>
      </c>
      <c r="I455" s="277" t="s">
        <v>37</v>
      </c>
      <c r="J455" s="223">
        <v>12</v>
      </c>
      <c r="K455" s="267">
        <f>K466</f>
        <v>2880</v>
      </c>
      <c r="L455" s="268">
        <f>L466</f>
        <v>2880</v>
      </c>
    </row>
    <row r="456" spans="2:14" x14ac:dyDescent="0.25">
      <c r="B456" s="284" t="s">
        <v>23</v>
      </c>
      <c r="C456" s="260" t="s">
        <v>158</v>
      </c>
      <c r="D456" s="273"/>
      <c r="E456" s="274"/>
      <c r="F456" s="274"/>
      <c r="G456" s="276"/>
      <c r="H456" s="276">
        <v>329</v>
      </c>
      <c r="I456" s="277" t="s">
        <v>38</v>
      </c>
      <c r="J456" s="223">
        <v>12</v>
      </c>
      <c r="K456" s="267">
        <f>K467+K468</f>
        <v>53464</v>
      </c>
      <c r="L456" s="268">
        <f>L467+L468</f>
        <v>53464</v>
      </c>
    </row>
    <row r="457" spans="2:14" x14ac:dyDescent="0.25">
      <c r="B457" s="284" t="s">
        <v>23</v>
      </c>
      <c r="C457" s="260" t="s">
        <v>158</v>
      </c>
      <c r="D457" s="273"/>
      <c r="E457" s="274"/>
      <c r="F457" s="274"/>
      <c r="G457" s="276"/>
      <c r="H457" s="276">
        <v>422</v>
      </c>
      <c r="I457" s="277" t="s">
        <v>94</v>
      </c>
      <c r="J457" s="223">
        <v>12</v>
      </c>
      <c r="K457" s="267">
        <f t="shared" ref="K457:L458" si="89">K469</f>
        <v>46500</v>
      </c>
      <c r="L457" s="268">
        <f t="shared" si="89"/>
        <v>610066</v>
      </c>
    </row>
    <row r="458" spans="2:14" x14ac:dyDescent="0.25">
      <c r="B458" s="284" t="s">
        <v>23</v>
      </c>
      <c r="C458" s="260" t="s">
        <v>158</v>
      </c>
      <c r="D458" s="273"/>
      <c r="E458" s="274"/>
      <c r="F458" s="274"/>
      <c r="G458" s="276"/>
      <c r="H458" s="276">
        <v>426</v>
      </c>
      <c r="I458" s="277" t="s">
        <v>77</v>
      </c>
      <c r="J458" s="223">
        <v>12</v>
      </c>
      <c r="K458" s="267">
        <f t="shared" si="89"/>
        <v>1815226</v>
      </c>
      <c r="L458" s="268">
        <f t="shared" si="89"/>
        <v>2037600</v>
      </c>
    </row>
    <row r="459" spans="2:14" ht="15" customHeight="1" x14ac:dyDescent="0.25">
      <c r="B459" s="53" t="s">
        <v>23</v>
      </c>
      <c r="C459" s="17" t="s">
        <v>158</v>
      </c>
      <c r="D459" s="154">
        <v>3</v>
      </c>
      <c r="E459" s="162">
        <v>1</v>
      </c>
      <c r="F459" s="162">
        <v>1</v>
      </c>
      <c r="G459" s="163">
        <v>1</v>
      </c>
      <c r="H459" s="163">
        <v>311</v>
      </c>
      <c r="I459" s="194" t="s">
        <v>42</v>
      </c>
      <c r="J459" s="223">
        <v>12</v>
      </c>
      <c r="K459" s="201">
        <v>0</v>
      </c>
      <c r="L459" s="217">
        <v>30000</v>
      </c>
    </row>
    <row r="460" spans="2:14" ht="15" customHeight="1" x14ac:dyDescent="0.25">
      <c r="B460" s="53" t="s">
        <v>23</v>
      </c>
      <c r="C460" s="17" t="s">
        <v>158</v>
      </c>
      <c r="D460" s="17">
        <v>3</v>
      </c>
      <c r="E460" s="146">
        <v>1</v>
      </c>
      <c r="F460" s="146">
        <v>3</v>
      </c>
      <c r="G460" s="147">
        <v>2</v>
      </c>
      <c r="H460" s="147">
        <v>313</v>
      </c>
      <c r="I460" s="52" t="s">
        <v>44</v>
      </c>
      <c r="J460" s="223">
        <v>12</v>
      </c>
      <c r="K460" s="201">
        <v>0</v>
      </c>
      <c r="L460" s="217">
        <v>15000</v>
      </c>
    </row>
    <row r="461" spans="2:14" ht="15" customHeight="1" x14ac:dyDescent="0.25">
      <c r="B461" s="53" t="s">
        <v>23</v>
      </c>
      <c r="C461" s="17" t="s">
        <v>158</v>
      </c>
      <c r="D461" s="17">
        <v>3</v>
      </c>
      <c r="E461" s="146">
        <v>2</v>
      </c>
      <c r="F461" s="146">
        <v>1</v>
      </c>
      <c r="G461" s="147">
        <v>1</v>
      </c>
      <c r="H461" s="147">
        <v>321</v>
      </c>
      <c r="I461" s="164" t="s">
        <v>46</v>
      </c>
      <c r="J461" s="223">
        <v>12</v>
      </c>
      <c r="K461" s="201">
        <v>14409</v>
      </c>
      <c r="L461" s="217">
        <v>14409</v>
      </c>
    </row>
    <row r="462" spans="2:14" ht="15" customHeight="1" x14ac:dyDescent="0.25">
      <c r="B462" s="53" t="s">
        <v>23</v>
      </c>
      <c r="C462" s="17" t="s">
        <v>158</v>
      </c>
      <c r="D462" s="17">
        <v>3</v>
      </c>
      <c r="E462" s="146">
        <v>2</v>
      </c>
      <c r="F462" s="146">
        <v>3</v>
      </c>
      <c r="G462" s="147">
        <v>3</v>
      </c>
      <c r="H462" s="147">
        <v>323</v>
      </c>
      <c r="I462" s="164" t="s">
        <v>57</v>
      </c>
      <c r="J462" s="223">
        <v>12</v>
      </c>
      <c r="K462" s="201">
        <v>1161938</v>
      </c>
      <c r="L462" s="217">
        <v>300000</v>
      </c>
    </row>
    <row r="463" spans="2:14" ht="15" customHeight="1" x14ac:dyDescent="0.25">
      <c r="B463" s="53" t="s">
        <v>23</v>
      </c>
      <c r="C463" s="17" t="s">
        <v>158</v>
      </c>
      <c r="D463" s="17">
        <v>3</v>
      </c>
      <c r="E463" s="146">
        <v>2</v>
      </c>
      <c r="F463" s="146">
        <v>3</v>
      </c>
      <c r="G463" s="147">
        <v>5</v>
      </c>
      <c r="H463" s="147">
        <v>323</v>
      </c>
      <c r="I463" s="164" t="s">
        <v>59</v>
      </c>
      <c r="J463" s="223">
        <v>12</v>
      </c>
      <c r="K463" s="201">
        <v>13864</v>
      </c>
      <c r="L463" s="217">
        <v>13864</v>
      </c>
    </row>
    <row r="464" spans="2:14" ht="15" customHeight="1" x14ac:dyDescent="0.25">
      <c r="B464" s="53" t="s">
        <v>23</v>
      </c>
      <c r="C464" s="17" t="s">
        <v>158</v>
      </c>
      <c r="D464" s="17">
        <v>3</v>
      </c>
      <c r="E464" s="146">
        <v>2</v>
      </c>
      <c r="F464" s="146">
        <v>3</v>
      </c>
      <c r="G464" s="147">
        <v>7</v>
      </c>
      <c r="H464" s="147">
        <v>323</v>
      </c>
      <c r="I464" s="52" t="s">
        <v>61</v>
      </c>
      <c r="J464" s="223">
        <v>12</v>
      </c>
      <c r="K464" s="201">
        <v>1160964</v>
      </c>
      <c r="L464" s="217">
        <v>1160964</v>
      </c>
    </row>
    <row r="465" spans="2:14" ht="15" customHeight="1" x14ac:dyDescent="0.25">
      <c r="B465" s="53" t="s">
        <v>23</v>
      </c>
      <c r="C465" s="17" t="s">
        <v>158</v>
      </c>
      <c r="D465" s="17">
        <v>3</v>
      </c>
      <c r="E465" s="146">
        <v>2</v>
      </c>
      <c r="F465" s="146">
        <v>3</v>
      </c>
      <c r="G465" s="147">
        <v>8</v>
      </c>
      <c r="H465" s="147">
        <v>323</v>
      </c>
      <c r="I465" s="164" t="s">
        <v>141</v>
      </c>
      <c r="J465" s="223">
        <v>12</v>
      </c>
      <c r="K465" s="201">
        <v>7950000</v>
      </c>
      <c r="L465" s="217">
        <v>3304542</v>
      </c>
    </row>
    <row r="466" spans="2:14" ht="15" customHeight="1" x14ac:dyDescent="0.25">
      <c r="B466" s="53" t="s">
        <v>23</v>
      </c>
      <c r="C466" s="17" t="s">
        <v>158</v>
      </c>
      <c r="D466" s="17">
        <v>3</v>
      </c>
      <c r="E466" s="146">
        <v>2</v>
      </c>
      <c r="F466" s="146">
        <v>4</v>
      </c>
      <c r="G466" s="147">
        <v>1</v>
      </c>
      <c r="H466" s="147">
        <v>324</v>
      </c>
      <c r="I466" s="164" t="s">
        <v>37</v>
      </c>
      <c r="J466" s="223">
        <v>12</v>
      </c>
      <c r="K466" s="201">
        <v>2880</v>
      </c>
      <c r="L466" s="217">
        <v>2880</v>
      </c>
    </row>
    <row r="467" spans="2:14" ht="15" customHeight="1" x14ac:dyDescent="0.25">
      <c r="B467" s="53" t="s">
        <v>23</v>
      </c>
      <c r="C467" s="17" t="s">
        <v>158</v>
      </c>
      <c r="D467" s="17">
        <v>3</v>
      </c>
      <c r="E467" s="146">
        <v>2</v>
      </c>
      <c r="F467" s="146">
        <v>9</v>
      </c>
      <c r="G467" s="147">
        <v>1</v>
      </c>
      <c r="H467" s="147">
        <v>329</v>
      </c>
      <c r="I467" s="164" t="s">
        <v>63</v>
      </c>
      <c r="J467" s="223">
        <v>12</v>
      </c>
      <c r="K467" s="201">
        <v>25500</v>
      </c>
      <c r="L467" s="217">
        <v>25500</v>
      </c>
      <c r="M467" s="413"/>
    </row>
    <row r="468" spans="2:14" ht="15" customHeight="1" x14ac:dyDescent="0.25">
      <c r="B468" s="53" t="s">
        <v>23</v>
      </c>
      <c r="C468" s="17" t="s">
        <v>158</v>
      </c>
      <c r="D468" s="17">
        <v>3</v>
      </c>
      <c r="E468" s="146">
        <v>2</v>
      </c>
      <c r="F468" s="146">
        <v>9</v>
      </c>
      <c r="G468" s="147">
        <v>3</v>
      </c>
      <c r="H468" s="147">
        <v>329</v>
      </c>
      <c r="I468" s="52" t="s">
        <v>65</v>
      </c>
      <c r="J468" s="223">
        <v>12</v>
      </c>
      <c r="K468" s="201">
        <v>27964</v>
      </c>
      <c r="L468" s="217">
        <v>27964</v>
      </c>
    </row>
    <row r="469" spans="2:14" ht="15" customHeight="1" x14ac:dyDescent="0.25">
      <c r="B469" s="53" t="s">
        <v>23</v>
      </c>
      <c r="C469" s="17" t="s">
        <v>158</v>
      </c>
      <c r="D469" s="17">
        <v>4</v>
      </c>
      <c r="E469" s="146">
        <v>2</v>
      </c>
      <c r="F469" s="146">
        <v>2</v>
      </c>
      <c r="G469" s="147">
        <v>1</v>
      </c>
      <c r="H469" s="147">
        <v>422</v>
      </c>
      <c r="I469" s="305" t="s">
        <v>95</v>
      </c>
      <c r="J469" s="223">
        <v>12</v>
      </c>
      <c r="K469" s="201">
        <v>46500</v>
      </c>
      <c r="L469" s="217">
        <v>610066</v>
      </c>
    </row>
    <row r="470" spans="2:14" ht="15" customHeight="1" x14ac:dyDescent="0.25">
      <c r="B470" s="53" t="s">
        <v>23</v>
      </c>
      <c r="C470" s="17" t="s">
        <v>158</v>
      </c>
      <c r="D470" s="17">
        <v>4</v>
      </c>
      <c r="E470" s="146">
        <v>2</v>
      </c>
      <c r="F470" s="146">
        <v>6</v>
      </c>
      <c r="G470" s="147">
        <v>2</v>
      </c>
      <c r="H470" s="147">
        <v>426</v>
      </c>
      <c r="I470" s="164" t="s">
        <v>79</v>
      </c>
      <c r="J470" s="223">
        <v>12</v>
      </c>
      <c r="K470" s="244">
        <v>1815226</v>
      </c>
      <c r="L470" s="217">
        <v>2037600</v>
      </c>
    </row>
    <row r="471" spans="2:14" ht="25.5" x14ac:dyDescent="0.25">
      <c r="B471" s="65" t="s">
        <v>23</v>
      </c>
      <c r="C471" s="58" t="s">
        <v>158</v>
      </c>
      <c r="D471" s="58"/>
      <c r="E471" s="59"/>
      <c r="F471" s="59"/>
      <c r="G471" s="59"/>
      <c r="H471" s="60" t="s">
        <v>4</v>
      </c>
      <c r="I471" s="61" t="s">
        <v>159</v>
      </c>
      <c r="J471" s="211">
        <v>563</v>
      </c>
      <c r="K471" s="236">
        <f>SUM(K483:K494)</f>
        <v>69242384</v>
      </c>
      <c r="L471" s="349">
        <f>SUM(L483:L494)</f>
        <v>42052267</v>
      </c>
    </row>
    <row r="472" spans="2:14" x14ac:dyDescent="0.25">
      <c r="B472" s="364" t="s">
        <v>23</v>
      </c>
      <c r="C472" s="365" t="s">
        <v>158</v>
      </c>
      <c r="D472" s="366"/>
      <c r="E472" s="367"/>
      <c r="F472" s="367"/>
      <c r="G472" s="369"/>
      <c r="H472" s="370">
        <v>31</v>
      </c>
      <c r="I472" s="355" t="s">
        <v>26</v>
      </c>
      <c r="J472" s="211">
        <v>563</v>
      </c>
      <c r="K472" s="377">
        <f t="shared" ref="K472:L472" si="90">K475+K476</f>
        <v>0</v>
      </c>
      <c r="L472" s="378">
        <f t="shared" si="90"/>
        <v>255000</v>
      </c>
      <c r="N472" s="413"/>
    </row>
    <row r="473" spans="2:14" x14ac:dyDescent="0.25">
      <c r="B473" s="364" t="s">
        <v>23</v>
      </c>
      <c r="C473" s="365" t="s">
        <v>158</v>
      </c>
      <c r="D473" s="366"/>
      <c r="E473" s="367"/>
      <c r="F473" s="367"/>
      <c r="G473" s="369"/>
      <c r="H473" s="370">
        <v>32</v>
      </c>
      <c r="I473" s="355" t="s">
        <v>27</v>
      </c>
      <c r="J473" s="211">
        <v>563</v>
      </c>
      <c r="K473" s="377">
        <f t="shared" ref="K473:L473" si="91">K477+K478+K479+K480</f>
        <v>58692606</v>
      </c>
      <c r="L473" s="378">
        <f t="shared" si="91"/>
        <v>27187367</v>
      </c>
      <c r="N473" s="413"/>
    </row>
    <row r="474" spans="2:14" ht="25.5" x14ac:dyDescent="0.25">
      <c r="B474" s="364" t="s">
        <v>23</v>
      </c>
      <c r="C474" s="365" t="s">
        <v>158</v>
      </c>
      <c r="D474" s="366"/>
      <c r="E474" s="367"/>
      <c r="F474" s="367"/>
      <c r="G474" s="369"/>
      <c r="H474" s="370">
        <v>42</v>
      </c>
      <c r="I474" s="355" t="s">
        <v>30</v>
      </c>
      <c r="J474" s="211">
        <v>563</v>
      </c>
      <c r="K474" s="377">
        <f t="shared" ref="K474:L474" si="92">K481+K482</f>
        <v>10549778</v>
      </c>
      <c r="L474" s="378">
        <f t="shared" si="92"/>
        <v>14609900</v>
      </c>
    </row>
    <row r="475" spans="2:14" x14ac:dyDescent="0.25">
      <c r="B475" s="284" t="s">
        <v>23</v>
      </c>
      <c r="C475" s="260" t="s">
        <v>158</v>
      </c>
      <c r="D475" s="273"/>
      <c r="E475" s="274"/>
      <c r="F475" s="274"/>
      <c r="G475" s="275"/>
      <c r="H475" s="276">
        <v>311</v>
      </c>
      <c r="I475" s="277" t="s">
        <v>31</v>
      </c>
      <c r="J475" s="224">
        <v>563</v>
      </c>
      <c r="K475" s="267">
        <f t="shared" ref="K475:L477" si="93">K483</f>
        <v>0</v>
      </c>
      <c r="L475" s="268">
        <f t="shared" si="93"/>
        <v>170000</v>
      </c>
    </row>
    <row r="476" spans="2:14" x14ac:dyDescent="0.25">
      <c r="B476" s="284" t="s">
        <v>23</v>
      </c>
      <c r="C476" s="260" t="s">
        <v>158</v>
      </c>
      <c r="D476" s="273"/>
      <c r="E476" s="274"/>
      <c r="F476" s="274"/>
      <c r="G476" s="275"/>
      <c r="H476" s="276">
        <v>313</v>
      </c>
      <c r="I476" s="277" t="s">
        <v>33</v>
      </c>
      <c r="J476" s="224">
        <v>563</v>
      </c>
      <c r="K476" s="267">
        <f t="shared" si="93"/>
        <v>0</v>
      </c>
      <c r="L476" s="268">
        <f t="shared" si="93"/>
        <v>85000</v>
      </c>
    </row>
    <row r="477" spans="2:14" x14ac:dyDescent="0.25">
      <c r="B477" s="284" t="s">
        <v>23</v>
      </c>
      <c r="C477" s="260" t="s">
        <v>158</v>
      </c>
      <c r="D477" s="273"/>
      <c r="E477" s="274"/>
      <c r="F477" s="274"/>
      <c r="G477" s="275"/>
      <c r="H477" s="276">
        <v>321</v>
      </c>
      <c r="I477" s="277" t="s">
        <v>34</v>
      </c>
      <c r="J477" s="224">
        <v>563</v>
      </c>
      <c r="K477" s="267">
        <f t="shared" si="93"/>
        <v>81650</v>
      </c>
      <c r="L477" s="268">
        <f t="shared" si="93"/>
        <v>81650</v>
      </c>
    </row>
    <row r="478" spans="2:14" ht="15" customHeight="1" x14ac:dyDescent="0.25">
      <c r="B478" s="284" t="s">
        <v>23</v>
      </c>
      <c r="C478" s="260" t="s">
        <v>158</v>
      </c>
      <c r="D478" s="273"/>
      <c r="E478" s="274"/>
      <c r="F478" s="274"/>
      <c r="G478" s="275"/>
      <c r="H478" s="276">
        <v>323</v>
      </c>
      <c r="I478" s="277" t="s">
        <v>36</v>
      </c>
      <c r="J478" s="224">
        <v>563</v>
      </c>
      <c r="K478" s="267">
        <f>K486+K487+K488+K489</f>
        <v>58291673</v>
      </c>
      <c r="L478" s="268">
        <f>L486+L487+L488+L489</f>
        <v>26786434</v>
      </c>
    </row>
    <row r="479" spans="2:14" ht="15" customHeight="1" x14ac:dyDescent="0.25">
      <c r="B479" s="284" t="s">
        <v>23</v>
      </c>
      <c r="C479" s="260" t="s">
        <v>158</v>
      </c>
      <c r="D479" s="273"/>
      <c r="E479" s="274"/>
      <c r="F479" s="274"/>
      <c r="G479" s="276"/>
      <c r="H479" s="276">
        <v>324</v>
      </c>
      <c r="I479" s="277" t="s">
        <v>37</v>
      </c>
      <c r="J479" s="224">
        <v>563</v>
      </c>
      <c r="K479" s="267">
        <f>K490</f>
        <v>16320</v>
      </c>
      <c r="L479" s="268">
        <f>L490</f>
        <v>16320</v>
      </c>
    </row>
    <row r="480" spans="2:14" ht="15" customHeight="1" x14ac:dyDescent="0.25">
      <c r="B480" s="284" t="s">
        <v>23</v>
      </c>
      <c r="C480" s="260" t="s">
        <v>158</v>
      </c>
      <c r="D480" s="273"/>
      <c r="E480" s="274"/>
      <c r="F480" s="274"/>
      <c r="G480" s="276"/>
      <c r="H480" s="276">
        <v>329</v>
      </c>
      <c r="I480" s="277" t="s">
        <v>38</v>
      </c>
      <c r="J480" s="224">
        <v>563</v>
      </c>
      <c r="K480" s="267">
        <f>K491+K492</f>
        <v>302963</v>
      </c>
      <c r="L480" s="268">
        <f>L491+L492</f>
        <v>302963</v>
      </c>
    </row>
    <row r="481" spans="2:14" ht="15" customHeight="1" x14ac:dyDescent="0.25">
      <c r="B481" s="284" t="s">
        <v>23</v>
      </c>
      <c r="C481" s="260" t="s">
        <v>158</v>
      </c>
      <c r="D481" s="273"/>
      <c r="E481" s="274"/>
      <c r="F481" s="274"/>
      <c r="G481" s="276"/>
      <c r="H481" s="276">
        <v>422</v>
      </c>
      <c r="I481" s="277" t="s">
        <v>94</v>
      </c>
      <c r="J481" s="224">
        <v>563</v>
      </c>
      <c r="K481" s="267">
        <f t="shared" ref="K481:L482" si="94">K493</f>
        <v>263500</v>
      </c>
      <c r="L481" s="268">
        <f t="shared" si="94"/>
        <v>3063500</v>
      </c>
    </row>
    <row r="482" spans="2:14" ht="15" customHeight="1" x14ac:dyDescent="0.25">
      <c r="B482" s="284" t="s">
        <v>23</v>
      </c>
      <c r="C482" s="260" t="s">
        <v>158</v>
      </c>
      <c r="D482" s="273"/>
      <c r="E482" s="274"/>
      <c r="F482" s="274"/>
      <c r="G482" s="276"/>
      <c r="H482" s="276">
        <v>426</v>
      </c>
      <c r="I482" s="277" t="s">
        <v>77</v>
      </c>
      <c r="J482" s="224">
        <v>563</v>
      </c>
      <c r="K482" s="267">
        <f t="shared" si="94"/>
        <v>10286278</v>
      </c>
      <c r="L482" s="268">
        <f t="shared" si="94"/>
        <v>11546400</v>
      </c>
    </row>
    <row r="483" spans="2:14" ht="15" customHeight="1" x14ac:dyDescent="0.25">
      <c r="B483" s="53" t="s">
        <v>23</v>
      </c>
      <c r="C483" s="17" t="s">
        <v>158</v>
      </c>
      <c r="D483" s="154">
        <v>3</v>
      </c>
      <c r="E483" s="162">
        <v>1</v>
      </c>
      <c r="F483" s="162">
        <v>1</v>
      </c>
      <c r="G483" s="163">
        <v>1</v>
      </c>
      <c r="H483" s="163">
        <v>311</v>
      </c>
      <c r="I483" s="194" t="s">
        <v>42</v>
      </c>
      <c r="J483" s="224">
        <v>563</v>
      </c>
      <c r="K483" s="201">
        <v>0</v>
      </c>
      <c r="L483" s="217">
        <v>170000</v>
      </c>
    </row>
    <row r="484" spans="2:14" ht="15" customHeight="1" x14ac:dyDescent="0.25">
      <c r="B484" s="53" t="s">
        <v>23</v>
      </c>
      <c r="C484" s="17" t="s">
        <v>158</v>
      </c>
      <c r="D484" s="17">
        <v>3</v>
      </c>
      <c r="E484" s="146">
        <v>1</v>
      </c>
      <c r="F484" s="146">
        <v>3</v>
      </c>
      <c r="G484" s="147">
        <v>2</v>
      </c>
      <c r="H484" s="147">
        <v>313</v>
      </c>
      <c r="I484" s="52" t="s">
        <v>44</v>
      </c>
      <c r="J484" s="224">
        <v>563</v>
      </c>
      <c r="K484" s="201">
        <v>0</v>
      </c>
      <c r="L484" s="217">
        <v>85000</v>
      </c>
    </row>
    <row r="485" spans="2:14" ht="15" customHeight="1" x14ac:dyDescent="0.25">
      <c r="B485" s="53" t="s">
        <v>23</v>
      </c>
      <c r="C485" s="17" t="s">
        <v>158</v>
      </c>
      <c r="D485" s="17">
        <v>3</v>
      </c>
      <c r="E485" s="146">
        <v>2</v>
      </c>
      <c r="F485" s="146">
        <v>1</v>
      </c>
      <c r="G485" s="147">
        <v>1</v>
      </c>
      <c r="H485" s="147">
        <v>321</v>
      </c>
      <c r="I485" s="164" t="s">
        <v>46</v>
      </c>
      <c r="J485" s="224">
        <v>563</v>
      </c>
      <c r="K485" s="201">
        <v>81650</v>
      </c>
      <c r="L485" s="217">
        <v>81650</v>
      </c>
    </row>
    <row r="486" spans="2:14" ht="15" customHeight="1" x14ac:dyDescent="0.25">
      <c r="B486" s="53" t="s">
        <v>23</v>
      </c>
      <c r="C486" s="17" t="s">
        <v>158</v>
      </c>
      <c r="D486" s="17">
        <v>3</v>
      </c>
      <c r="E486" s="146">
        <v>2</v>
      </c>
      <c r="F486" s="146">
        <v>3</v>
      </c>
      <c r="G486" s="147">
        <v>3</v>
      </c>
      <c r="H486" s="147">
        <v>323</v>
      </c>
      <c r="I486" s="164" t="s">
        <v>57</v>
      </c>
      <c r="J486" s="224">
        <v>563</v>
      </c>
      <c r="K486" s="201">
        <v>6584313</v>
      </c>
      <c r="L486" s="217">
        <v>1700000</v>
      </c>
    </row>
    <row r="487" spans="2:14" ht="15" customHeight="1" x14ac:dyDescent="0.25">
      <c r="B487" s="53" t="s">
        <v>23</v>
      </c>
      <c r="C487" s="17" t="s">
        <v>158</v>
      </c>
      <c r="D487" s="17">
        <v>3</v>
      </c>
      <c r="E487" s="146">
        <v>2</v>
      </c>
      <c r="F487" s="146">
        <v>3</v>
      </c>
      <c r="G487" s="147">
        <v>5</v>
      </c>
      <c r="H487" s="147">
        <v>323</v>
      </c>
      <c r="I487" s="164" t="s">
        <v>59</v>
      </c>
      <c r="J487" s="224">
        <v>563</v>
      </c>
      <c r="K487" s="201">
        <v>78565</v>
      </c>
      <c r="L487" s="217">
        <v>78565</v>
      </c>
    </row>
    <row r="488" spans="2:14" ht="15" customHeight="1" x14ac:dyDescent="0.25">
      <c r="B488" s="53" t="s">
        <v>23</v>
      </c>
      <c r="C488" s="17" t="s">
        <v>158</v>
      </c>
      <c r="D488" s="17">
        <v>3</v>
      </c>
      <c r="E488" s="146">
        <v>2</v>
      </c>
      <c r="F488" s="146">
        <v>3</v>
      </c>
      <c r="G488" s="147">
        <v>7</v>
      </c>
      <c r="H488" s="147">
        <v>323</v>
      </c>
      <c r="I488" s="52" t="s">
        <v>61</v>
      </c>
      <c r="J488" s="224">
        <v>563</v>
      </c>
      <c r="K488" s="201">
        <v>6578795</v>
      </c>
      <c r="L488" s="217">
        <v>6578795</v>
      </c>
    </row>
    <row r="489" spans="2:14" ht="15" customHeight="1" x14ac:dyDescent="0.25">
      <c r="B489" s="53" t="s">
        <v>23</v>
      </c>
      <c r="C489" s="17" t="s">
        <v>158</v>
      </c>
      <c r="D489" s="17">
        <v>3</v>
      </c>
      <c r="E489" s="146">
        <v>2</v>
      </c>
      <c r="F489" s="146">
        <v>3</v>
      </c>
      <c r="G489" s="147">
        <v>8</v>
      </c>
      <c r="H489" s="147">
        <v>323</v>
      </c>
      <c r="I489" s="164" t="s">
        <v>141</v>
      </c>
      <c r="J489" s="224">
        <v>563</v>
      </c>
      <c r="K489" s="201">
        <v>45050000</v>
      </c>
      <c r="L489" s="217">
        <v>18429074</v>
      </c>
    </row>
    <row r="490" spans="2:14" ht="15" customHeight="1" x14ac:dyDescent="0.25">
      <c r="B490" s="53" t="s">
        <v>23</v>
      </c>
      <c r="C490" s="17" t="s">
        <v>158</v>
      </c>
      <c r="D490" s="17">
        <v>3</v>
      </c>
      <c r="E490" s="146">
        <v>2</v>
      </c>
      <c r="F490" s="146">
        <v>4</v>
      </c>
      <c r="G490" s="147">
        <v>1</v>
      </c>
      <c r="H490" s="147">
        <v>324</v>
      </c>
      <c r="I490" s="164" t="s">
        <v>37</v>
      </c>
      <c r="J490" s="224">
        <v>563</v>
      </c>
      <c r="K490" s="201">
        <v>16320</v>
      </c>
      <c r="L490" s="217">
        <v>16320</v>
      </c>
    </row>
    <row r="491" spans="2:14" ht="15" customHeight="1" x14ac:dyDescent="0.25">
      <c r="B491" s="53" t="s">
        <v>23</v>
      </c>
      <c r="C491" s="17" t="s">
        <v>158</v>
      </c>
      <c r="D491" s="17">
        <v>3</v>
      </c>
      <c r="E491" s="146">
        <v>2</v>
      </c>
      <c r="F491" s="146">
        <v>9</v>
      </c>
      <c r="G491" s="147">
        <v>1</v>
      </c>
      <c r="H491" s="147">
        <v>329</v>
      </c>
      <c r="I491" s="164" t="s">
        <v>63</v>
      </c>
      <c r="J491" s="224">
        <v>563</v>
      </c>
      <c r="K491" s="201">
        <v>144500</v>
      </c>
      <c r="L491" s="217">
        <v>144500</v>
      </c>
    </row>
    <row r="492" spans="2:14" ht="15" customHeight="1" x14ac:dyDescent="0.25">
      <c r="B492" s="53" t="s">
        <v>23</v>
      </c>
      <c r="C492" s="17" t="s">
        <v>158</v>
      </c>
      <c r="D492" s="17">
        <v>3</v>
      </c>
      <c r="E492" s="146">
        <v>2</v>
      </c>
      <c r="F492" s="146">
        <v>9</v>
      </c>
      <c r="G492" s="147">
        <v>3</v>
      </c>
      <c r="H492" s="147">
        <v>329</v>
      </c>
      <c r="I492" s="52" t="s">
        <v>65</v>
      </c>
      <c r="J492" s="224">
        <v>563</v>
      </c>
      <c r="K492" s="201">
        <v>158463</v>
      </c>
      <c r="L492" s="217">
        <v>158463</v>
      </c>
    </row>
    <row r="493" spans="2:14" ht="15" customHeight="1" x14ac:dyDescent="0.25">
      <c r="B493" s="53" t="s">
        <v>23</v>
      </c>
      <c r="C493" s="17" t="s">
        <v>158</v>
      </c>
      <c r="D493" s="17">
        <v>4</v>
      </c>
      <c r="E493" s="146">
        <v>2</v>
      </c>
      <c r="F493" s="146">
        <v>2</v>
      </c>
      <c r="G493" s="147">
        <v>1</v>
      </c>
      <c r="H493" s="147">
        <v>422</v>
      </c>
      <c r="I493" s="305" t="s">
        <v>95</v>
      </c>
      <c r="J493" s="224">
        <v>563</v>
      </c>
      <c r="K493" s="201">
        <v>263500</v>
      </c>
      <c r="L493" s="217">
        <v>3063500</v>
      </c>
      <c r="N493" s="413"/>
    </row>
    <row r="494" spans="2:14" ht="15" customHeight="1" x14ac:dyDescent="0.25">
      <c r="B494" s="53" t="s">
        <v>23</v>
      </c>
      <c r="C494" s="17" t="s">
        <v>158</v>
      </c>
      <c r="D494" s="17">
        <v>4</v>
      </c>
      <c r="E494" s="146">
        <v>2</v>
      </c>
      <c r="F494" s="146">
        <v>6</v>
      </c>
      <c r="G494" s="147">
        <v>2</v>
      </c>
      <c r="H494" s="147">
        <v>426</v>
      </c>
      <c r="I494" s="164" t="s">
        <v>79</v>
      </c>
      <c r="J494" s="224">
        <v>563</v>
      </c>
      <c r="K494" s="201">
        <v>10286278</v>
      </c>
      <c r="L494" s="217">
        <v>11546400</v>
      </c>
    </row>
    <row r="495" spans="2:14" ht="24" x14ac:dyDescent="0.25">
      <c r="B495" s="44" t="s">
        <v>23</v>
      </c>
      <c r="C495" s="45" t="s">
        <v>161</v>
      </c>
      <c r="D495" s="45"/>
      <c r="E495" s="46"/>
      <c r="F495" s="46"/>
      <c r="G495" s="46"/>
      <c r="H495" s="47" t="s">
        <v>4</v>
      </c>
      <c r="I495" s="48" t="s">
        <v>162</v>
      </c>
      <c r="J495" s="114">
        <v>11</v>
      </c>
      <c r="K495" s="236">
        <f>SUM(K502:K506)</f>
        <v>1890000</v>
      </c>
      <c r="L495" s="349">
        <f>SUM(L502:L506)</f>
        <v>1641468</v>
      </c>
    </row>
    <row r="496" spans="2:14" x14ac:dyDescent="0.25">
      <c r="B496" s="379" t="s">
        <v>23</v>
      </c>
      <c r="C496" s="380" t="s">
        <v>161</v>
      </c>
      <c r="D496" s="381"/>
      <c r="E496" s="382"/>
      <c r="F496" s="382"/>
      <c r="G496" s="383"/>
      <c r="H496" s="384">
        <v>32</v>
      </c>
      <c r="I496" s="355" t="s">
        <v>27</v>
      </c>
      <c r="J496" s="114">
        <v>11</v>
      </c>
      <c r="K496" s="377">
        <f t="shared" ref="K496:L496" si="95">K498+K499+K500</f>
        <v>1125000</v>
      </c>
      <c r="L496" s="378">
        <f t="shared" si="95"/>
        <v>876468</v>
      </c>
      <c r="N496" s="413"/>
    </row>
    <row r="497" spans="2:14" ht="25.5" x14ac:dyDescent="0.25">
      <c r="B497" s="379" t="s">
        <v>23</v>
      </c>
      <c r="C497" s="380" t="s">
        <v>161</v>
      </c>
      <c r="D497" s="381"/>
      <c r="E497" s="382"/>
      <c r="F497" s="382"/>
      <c r="G497" s="383"/>
      <c r="H497" s="384">
        <v>36</v>
      </c>
      <c r="I497" s="362" t="s">
        <v>82</v>
      </c>
      <c r="J497" s="114">
        <v>11</v>
      </c>
      <c r="K497" s="377">
        <f t="shared" ref="K497:L497" si="96">K501</f>
        <v>765000</v>
      </c>
      <c r="L497" s="378">
        <f t="shared" si="96"/>
        <v>765000</v>
      </c>
      <c r="N497" s="413"/>
    </row>
    <row r="498" spans="2:14" x14ac:dyDescent="0.25">
      <c r="B498" s="289" t="s">
        <v>23</v>
      </c>
      <c r="C498" s="290" t="s">
        <v>161</v>
      </c>
      <c r="D498" s="291"/>
      <c r="E498" s="292"/>
      <c r="F498" s="292"/>
      <c r="G498" s="293"/>
      <c r="H498" s="294">
        <v>323</v>
      </c>
      <c r="I498" s="277" t="s">
        <v>36</v>
      </c>
      <c r="J498" s="120">
        <v>11</v>
      </c>
      <c r="K498" s="267">
        <f>K502+K503</f>
        <v>820000</v>
      </c>
      <c r="L498" s="268">
        <f>L502+L503</f>
        <v>571468</v>
      </c>
    </row>
    <row r="499" spans="2:14" x14ac:dyDescent="0.25">
      <c r="B499" s="289" t="s">
        <v>23</v>
      </c>
      <c r="C499" s="290" t="s">
        <v>161</v>
      </c>
      <c r="D499" s="291"/>
      <c r="E499" s="292"/>
      <c r="F499" s="292"/>
      <c r="G499" s="293"/>
      <c r="H499" s="294">
        <v>324</v>
      </c>
      <c r="I499" s="277" t="s">
        <v>37</v>
      </c>
      <c r="J499" s="120">
        <v>11</v>
      </c>
      <c r="K499" s="267">
        <f t="shared" ref="K499:L500" si="97">K504</f>
        <v>55000</v>
      </c>
      <c r="L499" s="268">
        <f t="shared" si="97"/>
        <v>55000</v>
      </c>
    </row>
    <row r="500" spans="2:14" x14ac:dyDescent="0.25">
      <c r="B500" s="289" t="s">
        <v>23</v>
      </c>
      <c r="C500" s="290" t="s">
        <v>161</v>
      </c>
      <c r="D500" s="291"/>
      <c r="E500" s="292"/>
      <c r="F500" s="292"/>
      <c r="G500" s="293"/>
      <c r="H500" s="294">
        <v>329</v>
      </c>
      <c r="I500" s="277" t="s">
        <v>38</v>
      </c>
      <c r="J500" s="120">
        <v>11</v>
      </c>
      <c r="K500" s="267">
        <f t="shared" si="97"/>
        <v>250000</v>
      </c>
      <c r="L500" s="268">
        <f t="shared" si="97"/>
        <v>250000</v>
      </c>
    </row>
    <row r="501" spans="2:14" ht="25.5" x14ac:dyDescent="0.25">
      <c r="B501" s="289" t="s">
        <v>23</v>
      </c>
      <c r="C501" s="290" t="s">
        <v>161</v>
      </c>
      <c r="D501" s="291"/>
      <c r="E501" s="292"/>
      <c r="F501" s="292"/>
      <c r="G501" s="293"/>
      <c r="H501" s="294">
        <v>366</v>
      </c>
      <c r="I501" s="277" t="s">
        <v>115</v>
      </c>
      <c r="J501" s="120">
        <v>11</v>
      </c>
      <c r="K501" s="267">
        <f>K506</f>
        <v>765000</v>
      </c>
      <c r="L501" s="268">
        <f>L506</f>
        <v>765000</v>
      </c>
    </row>
    <row r="502" spans="2:14" x14ac:dyDescent="0.25">
      <c r="B502" s="156" t="s">
        <v>23</v>
      </c>
      <c r="C502" s="157" t="s">
        <v>161</v>
      </c>
      <c r="D502" s="202">
        <v>3</v>
      </c>
      <c r="E502" s="203">
        <v>2</v>
      </c>
      <c r="F502" s="203">
        <v>3</v>
      </c>
      <c r="G502" s="203">
        <v>7</v>
      </c>
      <c r="H502" s="176">
        <v>323</v>
      </c>
      <c r="I502" s="52" t="s">
        <v>61</v>
      </c>
      <c r="J502" s="204">
        <v>11</v>
      </c>
      <c r="K502" s="167">
        <f>905000-150000</f>
        <v>755000</v>
      </c>
      <c r="L502" s="174">
        <v>506468</v>
      </c>
    </row>
    <row r="503" spans="2:14" x14ac:dyDescent="0.25">
      <c r="B503" s="156" t="s">
        <v>23</v>
      </c>
      <c r="C503" s="157" t="s">
        <v>161</v>
      </c>
      <c r="D503" s="202">
        <v>3</v>
      </c>
      <c r="E503" s="203">
        <v>2</v>
      </c>
      <c r="F503" s="203">
        <v>3</v>
      </c>
      <c r="G503" s="203">
        <v>9</v>
      </c>
      <c r="H503" s="176">
        <v>323</v>
      </c>
      <c r="I503" s="52" t="s">
        <v>62</v>
      </c>
      <c r="J503" s="204">
        <v>11</v>
      </c>
      <c r="K503" s="167">
        <v>65000</v>
      </c>
      <c r="L503" s="174">
        <v>65000</v>
      </c>
    </row>
    <row r="504" spans="2:14" ht="15" customHeight="1" x14ac:dyDescent="0.25">
      <c r="B504" s="156" t="s">
        <v>23</v>
      </c>
      <c r="C504" s="157" t="s">
        <v>161</v>
      </c>
      <c r="D504" s="202">
        <v>3</v>
      </c>
      <c r="E504" s="203">
        <v>2</v>
      </c>
      <c r="F504" s="203">
        <v>4</v>
      </c>
      <c r="G504" s="203">
        <v>1</v>
      </c>
      <c r="H504" s="176">
        <v>324</v>
      </c>
      <c r="I504" s="52" t="s">
        <v>37</v>
      </c>
      <c r="J504" s="204">
        <v>11</v>
      </c>
      <c r="K504" s="167">
        <f>5000+50000</f>
        <v>55000</v>
      </c>
      <c r="L504" s="174">
        <v>55000</v>
      </c>
    </row>
    <row r="505" spans="2:14" x14ac:dyDescent="0.25">
      <c r="B505" s="156" t="s">
        <v>23</v>
      </c>
      <c r="C505" s="157" t="s">
        <v>161</v>
      </c>
      <c r="D505" s="202">
        <v>3</v>
      </c>
      <c r="E505" s="203">
        <v>2</v>
      </c>
      <c r="F505" s="203">
        <v>9</v>
      </c>
      <c r="G505" s="203">
        <v>1</v>
      </c>
      <c r="H505" s="176">
        <v>329</v>
      </c>
      <c r="I505" s="27" t="s">
        <v>63</v>
      </c>
      <c r="J505" s="204">
        <v>11</v>
      </c>
      <c r="K505" s="167">
        <f>10000+240000</f>
        <v>250000</v>
      </c>
      <c r="L505" s="174">
        <v>250000</v>
      </c>
    </row>
    <row r="506" spans="2:14" ht="25.5" x14ac:dyDescent="0.25">
      <c r="B506" s="37" t="s">
        <v>23</v>
      </c>
      <c r="C506" s="41" t="s">
        <v>161</v>
      </c>
      <c r="D506" s="17">
        <v>3</v>
      </c>
      <c r="E506" s="146">
        <v>6</v>
      </c>
      <c r="F506" s="146">
        <v>6</v>
      </c>
      <c r="G506" s="147">
        <v>1</v>
      </c>
      <c r="H506" s="147">
        <v>366</v>
      </c>
      <c r="I506" s="215" t="s">
        <v>121</v>
      </c>
      <c r="J506" s="115">
        <v>11</v>
      </c>
      <c r="K506" s="167">
        <f>805000-40000</f>
        <v>765000</v>
      </c>
      <c r="L506" s="174">
        <v>765000</v>
      </c>
    </row>
    <row r="507" spans="2:14" ht="25.5" x14ac:dyDescent="0.25">
      <c r="B507" s="33" t="s">
        <v>3</v>
      </c>
      <c r="C507" s="34" t="s">
        <v>164</v>
      </c>
      <c r="D507" s="34"/>
      <c r="E507" s="35"/>
      <c r="F507" s="35"/>
      <c r="G507" s="35"/>
      <c r="H507" s="36" t="s">
        <v>4</v>
      </c>
      <c r="I507" s="248" t="s">
        <v>165</v>
      </c>
      <c r="J507" s="114">
        <v>11</v>
      </c>
      <c r="K507" s="240">
        <f>SUM(K517:K525)</f>
        <v>1806000</v>
      </c>
      <c r="L507" s="350">
        <f>SUM(L517:L525)</f>
        <v>1806000</v>
      </c>
    </row>
    <row r="508" spans="2:14" x14ac:dyDescent="0.25">
      <c r="B508" s="379" t="s">
        <v>3</v>
      </c>
      <c r="C508" s="385" t="s">
        <v>164</v>
      </c>
      <c r="D508" s="386"/>
      <c r="E508" s="386"/>
      <c r="F508" s="386"/>
      <c r="G508" s="383"/>
      <c r="H508" s="383">
        <v>32</v>
      </c>
      <c r="I508" s="355" t="s">
        <v>27</v>
      </c>
      <c r="J508" s="114">
        <v>11</v>
      </c>
      <c r="K508" s="378">
        <f t="shared" ref="K508:L508" si="98">K511+K512+K513+K514</f>
        <v>516000</v>
      </c>
      <c r="L508" s="378">
        <f t="shared" si="98"/>
        <v>516000</v>
      </c>
      <c r="N508" s="413"/>
    </row>
    <row r="509" spans="2:14" ht="25.5" x14ac:dyDescent="0.25">
      <c r="B509" s="379" t="s">
        <v>3</v>
      </c>
      <c r="C509" s="385" t="s">
        <v>164</v>
      </c>
      <c r="D509" s="386"/>
      <c r="E509" s="386"/>
      <c r="F509" s="386"/>
      <c r="G509" s="383"/>
      <c r="H509" s="383">
        <v>36</v>
      </c>
      <c r="I509" s="362" t="s">
        <v>82</v>
      </c>
      <c r="J509" s="114">
        <v>11</v>
      </c>
      <c r="K509" s="378">
        <f t="shared" ref="K509:L509" si="99">K515</f>
        <v>1250000</v>
      </c>
      <c r="L509" s="378">
        <f t="shared" si="99"/>
        <v>1250000</v>
      </c>
      <c r="N509" s="413"/>
    </row>
    <row r="510" spans="2:14" ht="25.5" x14ac:dyDescent="0.25">
      <c r="B510" s="379" t="s">
        <v>3</v>
      </c>
      <c r="C510" s="385" t="s">
        <v>164</v>
      </c>
      <c r="D510" s="386"/>
      <c r="E510" s="386"/>
      <c r="F510" s="386"/>
      <c r="G510" s="383"/>
      <c r="H510" s="383">
        <v>41</v>
      </c>
      <c r="I510" s="355" t="s">
        <v>99</v>
      </c>
      <c r="J510" s="114">
        <v>11</v>
      </c>
      <c r="K510" s="378">
        <f t="shared" ref="K510:L510" si="100">K516</f>
        <v>40000</v>
      </c>
      <c r="L510" s="378">
        <f t="shared" si="100"/>
        <v>40000</v>
      </c>
    </row>
    <row r="511" spans="2:14" x14ac:dyDescent="0.25">
      <c r="B511" s="251" t="s">
        <v>3</v>
      </c>
      <c r="C511" s="285" t="s">
        <v>164</v>
      </c>
      <c r="D511" s="288"/>
      <c r="E511" s="288"/>
      <c r="F511" s="288"/>
      <c r="G511" s="277"/>
      <c r="H511" s="293">
        <v>321</v>
      </c>
      <c r="I511" s="277" t="s">
        <v>34</v>
      </c>
      <c r="J511" s="329">
        <v>11</v>
      </c>
      <c r="K511" s="328">
        <f>K517</f>
        <v>15000</v>
      </c>
      <c r="L511" s="331">
        <f>L517</f>
        <v>15000</v>
      </c>
    </row>
    <row r="512" spans="2:14" x14ac:dyDescent="0.25">
      <c r="B512" s="251" t="s">
        <v>3</v>
      </c>
      <c r="C512" s="285" t="s">
        <v>164</v>
      </c>
      <c r="D512" s="288"/>
      <c r="E512" s="288"/>
      <c r="F512" s="288"/>
      <c r="G512" s="277"/>
      <c r="H512" s="293">
        <v>323</v>
      </c>
      <c r="I512" s="277" t="s">
        <v>36</v>
      </c>
      <c r="J512" s="329">
        <v>11</v>
      </c>
      <c r="K512" s="328">
        <f>K518+K519</f>
        <v>450000</v>
      </c>
      <c r="L512" s="331">
        <f>L518+L519</f>
        <v>450000</v>
      </c>
    </row>
    <row r="513" spans="2:12" x14ac:dyDescent="0.25">
      <c r="B513" s="251" t="s">
        <v>3</v>
      </c>
      <c r="C513" s="285" t="s">
        <v>164</v>
      </c>
      <c r="D513" s="288"/>
      <c r="E513" s="288"/>
      <c r="F513" s="288"/>
      <c r="G513" s="277"/>
      <c r="H513" s="293">
        <v>324</v>
      </c>
      <c r="I513" s="277" t="s">
        <v>37</v>
      </c>
      <c r="J513" s="329">
        <v>11</v>
      </c>
      <c r="K513" s="328">
        <f>K520</f>
        <v>1000</v>
      </c>
      <c r="L513" s="331">
        <f>L520</f>
        <v>1000</v>
      </c>
    </row>
    <row r="514" spans="2:12" x14ac:dyDescent="0.25">
      <c r="B514" s="251" t="s">
        <v>3</v>
      </c>
      <c r="C514" s="285" t="s">
        <v>164</v>
      </c>
      <c r="D514" s="288"/>
      <c r="E514" s="288"/>
      <c r="F514" s="288"/>
      <c r="G514" s="277"/>
      <c r="H514" s="293">
        <v>329</v>
      </c>
      <c r="I514" s="277" t="s">
        <v>38</v>
      </c>
      <c r="J514" s="329">
        <v>11</v>
      </c>
      <c r="K514" s="328">
        <f>K521+K522</f>
        <v>50000</v>
      </c>
      <c r="L514" s="331">
        <f>L521+L522</f>
        <v>50000</v>
      </c>
    </row>
    <row r="515" spans="2:12" ht="25.5" x14ac:dyDescent="0.25">
      <c r="B515" s="251" t="s">
        <v>3</v>
      </c>
      <c r="C515" s="285" t="s">
        <v>164</v>
      </c>
      <c r="D515" s="288"/>
      <c r="E515" s="288"/>
      <c r="F515" s="288"/>
      <c r="G515" s="277"/>
      <c r="H515" s="293">
        <v>366</v>
      </c>
      <c r="I515" s="277" t="s">
        <v>115</v>
      </c>
      <c r="J515" s="329">
        <v>11</v>
      </c>
      <c r="K515" s="328">
        <f>K523+K524</f>
        <v>1250000</v>
      </c>
      <c r="L515" s="331">
        <f>L523+L524</f>
        <v>1250000</v>
      </c>
    </row>
    <row r="516" spans="2:12" x14ac:dyDescent="0.25">
      <c r="B516" s="251" t="s">
        <v>3</v>
      </c>
      <c r="C516" s="285" t="s">
        <v>164</v>
      </c>
      <c r="D516" s="288"/>
      <c r="E516" s="288"/>
      <c r="F516" s="288"/>
      <c r="G516" s="277"/>
      <c r="H516" s="293">
        <v>412</v>
      </c>
      <c r="I516" s="277" t="s">
        <v>100</v>
      </c>
      <c r="J516" s="329">
        <v>11</v>
      </c>
      <c r="K516" s="328">
        <f t="shared" ref="K516:L516" si="101">K525</f>
        <v>40000</v>
      </c>
      <c r="L516" s="331">
        <f t="shared" si="101"/>
        <v>40000</v>
      </c>
    </row>
    <row r="517" spans="2:12" x14ac:dyDescent="0.25">
      <c r="B517" s="37" t="s">
        <v>3</v>
      </c>
      <c r="C517" s="38" t="s">
        <v>164</v>
      </c>
      <c r="D517" s="39">
        <v>3</v>
      </c>
      <c r="E517" s="39">
        <v>2</v>
      </c>
      <c r="F517" s="39">
        <v>1</v>
      </c>
      <c r="G517" s="39">
        <v>3</v>
      </c>
      <c r="H517" s="11">
        <v>323</v>
      </c>
      <c r="I517" s="306" t="s">
        <v>48</v>
      </c>
      <c r="J517" s="227">
        <v>11</v>
      </c>
      <c r="K517" s="167">
        <v>15000</v>
      </c>
      <c r="L517" s="174">
        <v>15000</v>
      </c>
    </row>
    <row r="518" spans="2:12" x14ac:dyDescent="0.25">
      <c r="B518" s="156" t="s">
        <v>3</v>
      </c>
      <c r="C518" s="157" t="s">
        <v>164</v>
      </c>
      <c r="D518" s="158">
        <v>3</v>
      </c>
      <c r="E518" s="159">
        <v>2</v>
      </c>
      <c r="F518" s="159">
        <v>3</v>
      </c>
      <c r="G518" s="159">
        <v>7</v>
      </c>
      <c r="H518" s="13">
        <v>323</v>
      </c>
      <c r="I518" s="27" t="s">
        <v>109</v>
      </c>
      <c r="J518" s="113">
        <v>11</v>
      </c>
      <c r="K518" s="167">
        <v>350000</v>
      </c>
      <c r="L518" s="174">
        <v>350000</v>
      </c>
    </row>
    <row r="519" spans="2:12" x14ac:dyDescent="0.25">
      <c r="B519" s="156" t="s">
        <v>3</v>
      </c>
      <c r="C519" s="157" t="s">
        <v>164</v>
      </c>
      <c r="D519" s="158">
        <v>3</v>
      </c>
      <c r="E519" s="159">
        <v>2</v>
      </c>
      <c r="F519" s="159">
        <v>3</v>
      </c>
      <c r="G519" s="159">
        <v>9</v>
      </c>
      <c r="H519" s="13">
        <v>323</v>
      </c>
      <c r="I519" s="161" t="s">
        <v>86</v>
      </c>
      <c r="J519" s="113">
        <v>11</v>
      </c>
      <c r="K519" s="167">
        <v>100000</v>
      </c>
      <c r="L519" s="174">
        <v>100000</v>
      </c>
    </row>
    <row r="520" spans="2:12" x14ac:dyDescent="0.25">
      <c r="B520" s="156" t="s">
        <v>3</v>
      </c>
      <c r="C520" s="157" t="s">
        <v>164</v>
      </c>
      <c r="D520" s="158">
        <v>3</v>
      </c>
      <c r="E520" s="159">
        <v>2</v>
      </c>
      <c r="F520" s="159">
        <v>4</v>
      </c>
      <c r="G520" s="159">
        <v>1</v>
      </c>
      <c r="H520" s="141">
        <v>324</v>
      </c>
      <c r="I520" s="161" t="s">
        <v>37</v>
      </c>
      <c r="J520" s="113">
        <v>11</v>
      </c>
      <c r="K520" s="167">
        <v>1000</v>
      </c>
      <c r="L520" s="174">
        <v>1000</v>
      </c>
    </row>
    <row r="521" spans="2:12" ht="15" customHeight="1" x14ac:dyDescent="0.25">
      <c r="B521" s="37" t="s">
        <v>3</v>
      </c>
      <c r="C521" s="38" t="s">
        <v>164</v>
      </c>
      <c r="D521" s="41">
        <v>3</v>
      </c>
      <c r="E521" s="42">
        <v>2</v>
      </c>
      <c r="F521" s="42">
        <v>9</v>
      </c>
      <c r="G521" s="184">
        <v>1</v>
      </c>
      <c r="H521" s="38">
        <v>329</v>
      </c>
      <c r="I521" s="307" t="s">
        <v>63</v>
      </c>
      <c r="J521" s="113">
        <v>11</v>
      </c>
      <c r="K521" s="167">
        <v>5000</v>
      </c>
      <c r="L521" s="174">
        <v>5000</v>
      </c>
    </row>
    <row r="522" spans="2:12" ht="15" customHeight="1" x14ac:dyDescent="0.25">
      <c r="B522" s="37" t="s">
        <v>3</v>
      </c>
      <c r="C522" s="38" t="s">
        <v>164</v>
      </c>
      <c r="D522" s="41">
        <v>3</v>
      </c>
      <c r="E522" s="42">
        <v>2</v>
      </c>
      <c r="F522" s="42">
        <v>9</v>
      </c>
      <c r="G522" s="42">
        <v>3</v>
      </c>
      <c r="H522" s="38">
        <v>329</v>
      </c>
      <c r="I522" s="40" t="s">
        <v>65</v>
      </c>
      <c r="J522" s="113">
        <v>11</v>
      </c>
      <c r="K522" s="167">
        <v>45000</v>
      </c>
      <c r="L522" s="174">
        <v>45000</v>
      </c>
    </row>
    <row r="523" spans="2:12" ht="25.5" x14ac:dyDescent="0.25">
      <c r="B523" s="37" t="s">
        <v>3</v>
      </c>
      <c r="C523" s="38" t="s">
        <v>164</v>
      </c>
      <c r="D523" s="41">
        <v>3</v>
      </c>
      <c r="E523" s="42">
        <v>6</v>
      </c>
      <c r="F523" s="42">
        <v>6</v>
      </c>
      <c r="G523" s="42">
        <v>1</v>
      </c>
      <c r="H523" s="38">
        <v>366</v>
      </c>
      <c r="I523" s="161" t="s">
        <v>121</v>
      </c>
      <c r="J523" s="113">
        <v>11</v>
      </c>
      <c r="K523" s="167">
        <v>750000</v>
      </c>
      <c r="L523" s="174">
        <v>750000</v>
      </c>
    </row>
    <row r="524" spans="2:12" ht="41.25" customHeight="1" x14ac:dyDescent="0.25">
      <c r="B524" s="37" t="s">
        <v>3</v>
      </c>
      <c r="C524" s="38" t="s">
        <v>164</v>
      </c>
      <c r="D524" s="41">
        <v>3</v>
      </c>
      <c r="E524" s="42">
        <v>6</v>
      </c>
      <c r="F524" s="42">
        <v>6</v>
      </c>
      <c r="G524" s="42">
        <v>2</v>
      </c>
      <c r="H524" s="38">
        <v>366</v>
      </c>
      <c r="I524" s="161" t="s">
        <v>163</v>
      </c>
      <c r="J524" s="113">
        <v>11</v>
      </c>
      <c r="K524" s="167">
        <v>500000</v>
      </c>
      <c r="L524" s="174">
        <v>500000</v>
      </c>
    </row>
    <row r="525" spans="2:12" x14ac:dyDescent="0.25">
      <c r="B525" s="37" t="s">
        <v>3</v>
      </c>
      <c r="C525" s="38" t="s">
        <v>164</v>
      </c>
      <c r="D525" s="41">
        <v>4</v>
      </c>
      <c r="E525" s="42">
        <v>1</v>
      </c>
      <c r="F525" s="42">
        <v>2</v>
      </c>
      <c r="G525" s="42">
        <v>3</v>
      </c>
      <c r="H525" s="38">
        <v>412</v>
      </c>
      <c r="I525" s="308" t="s">
        <v>101</v>
      </c>
      <c r="J525" s="113">
        <v>11</v>
      </c>
      <c r="K525" s="167">
        <v>40000</v>
      </c>
      <c r="L525" s="174">
        <v>40000</v>
      </c>
    </row>
    <row r="526" spans="2:12" x14ac:dyDescent="0.25">
      <c r="B526" s="44" t="s">
        <v>23</v>
      </c>
      <c r="C526" s="45" t="s">
        <v>166</v>
      </c>
      <c r="D526" s="45"/>
      <c r="E526" s="46"/>
      <c r="F526" s="46"/>
      <c r="G526" s="46"/>
      <c r="H526" s="47" t="s">
        <v>4</v>
      </c>
      <c r="I526" s="48" t="s">
        <v>167</v>
      </c>
      <c r="J526" s="117">
        <v>11</v>
      </c>
      <c r="K526" s="236">
        <f>SUM(K530:K532)</f>
        <v>440000</v>
      </c>
      <c r="L526" s="349">
        <f>SUM(L530:L532)</f>
        <v>440000</v>
      </c>
    </row>
    <row r="527" spans="2:12" x14ac:dyDescent="0.25">
      <c r="B527" s="379" t="s">
        <v>23</v>
      </c>
      <c r="C527" s="385" t="s">
        <v>166</v>
      </c>
      <c r="D527" s="386"/>
      <c r="E527" s="386"/>
      <c r="F527" s="386"/>
      <c r="G527" s="383"/>
      <c r="H527" s="383">
        <v>32</v>
      </c>
      <c r="I527" s="355" t="s">
        <v>27</v>
      </c>
      <c r="J527" s="114">
        <v>11</v>
      </c>
      <c r="K527" s="378">
        <f>K528+K529</f>
        <v>440000</v>
      </c>
      <c r="L527" s="378">
        <f>L528+L529</f>
        <v>440000</v>
      </c>
    </row>
    <row r="528" spans="2:12" x14ac:dyDescent="0.25">
      <c r="B528" s="251" t="s">
        <v>23</v>
      </c>
      <c r="C528" s="285" t="s">
        <v>166</v>
      </c>
      <c r="D528" s="288"/>
      <c r="E528" s="288"/>
      <c r="F528" s="288"/>
      <c r="G528" s="277"/>
      <c r="H528" s="293">
        <v>323</v>
      </c>
      <c r="I528" s="256" t="s">
        <v>36</v>
      </c>
      <c r="J528" s="329">
        <v>11</v>
      </c>
      <c r="K528" s="328">
        <f>K530+K531</f>
        <v>370000</v>
      </c>
      <c r="L528" s="331">
        <f>L530+L531</f>
        <v>370000</v>
      </c>
    </row>
    <row r="529" spans="2:14" x14ac:dyDescent="0.25">
      <c r="B529" s="251" t="s">
        <v>23</v>
      </c>
      <c r="C529" s="285" t="s">
        <v>166</v>
      </c>
      <c r="D529" s="288"/>
      <c r="E529" s="288"/>
      <c r="F529" s="288"/>
      <c r="G529" s="277"/>
      <c r="H529" s="293">
        <v>329</v>
      </c>
      <c r="I529" s="256" t="s">
        <v>38</v>
      </c>
      <c r="J529" s="329">
        <v>11</v>
      </c>
      <c r="K529" s="328">
        <f>K532</f>
        <v>70000</v>
      </c>
      <c r="L529" s="331">
        <f>L532</f>
        <v>70000</v>
      </c>
    </row>
    <row r="530" spans="2:14" ht="15" customHeight="1" x14ac:dyDescent="0.25">
      <c r="B530" s="156" t="s">
        <v>23</v>
      </c>
      <c r="C530" s="157" t="s">
        <v>166</v>
      </c>
      <c r="D530" s="158">
        <v>3</v>
      </c>
      <c r="E530" s="159">
        <v>2</v>
      </c>
      <c r="F530" s="159">
        <v>3</v>
      </c>
      <c r="G530" s="159">
        <v>5</v>
      </c>
      <c r="H530" s="20">
        <v>323</v>
      </c>
      <c r="I530" s="160" t="s">
        <v>59</v>
      </c>
      <c r="J530" s="113">
        <v>11</v>
      </c>
      <c r="K530" s="167">
        <v>70000</v>
      </c>
      <c r="L530" s="174">
        <v>70000</v>
      </c>
    </row>
    <row r="531" spans="2:14" ht="15" customHeight="1" x14ac:dyDescent="0.25">
      <c r="B531" s="156" t="s">
        <v>23</v>
      </c>
      <c r="C531" s="157" t="s">
        <v>166</v>
      </c>
      <c r="D531" s="158">
        <v>3</v>
      </c>
      <c r="E531" s="159">
        <v>2</v>
      </c>
      <c r="F531" s="159">
        <v>3</v>
      </c>
      <c r="G531" s="159">
        <v>7</v>
      </c>
      <c r="H531" s="20">
        <v>323</v>
      </c>
      <c r="I531" s="27" t="s">
        <v>109</v>
      </c>
      <c r="J531" s="113">
        <v>11</v>
      </c>
      <c r="K531" s="167">
        <v>300000</v>
      </c>
      <c r="L531" s="174">
        <v>300000</v>
      </c>
    </row>
    <row r="532" spans="2:14" ht="15" customHeight="1" x14ac:dyDescent="0.25">
      <c r="B532" s="156" t="s">
        <v>23</v>
      </c>
      <c r="C532" s="157" t="s">
        <v>166</v>
      </c>
      <c r="D532" s="205">
        <v>3</v>
      </c>
      <c r="E532" s="206">
        <v>2</v>
      </c>
      <c r="F532" s="206">
        <v>9</v>
      </c>
      <c r="G532" s="206">
        <v>3</v>
      </c>
      <c r="H532" s="157">
        <v>329</v>
      </c>
      <c r="I532" s="232" t="s">
        <v>65</v>
      </c>
      <c r="J532" s="113">
        <v>11</v>
      </c>
      <c r="K532" s="167">
        <v>70000</v>
      </c>
      <c r="L532" s="174">
        <v>70000</v>
      </c>
    </row>
    <row r="533" spans="2:14" x14ac:dyDescent="0.25">
      <c r="B533" s="2" t="s">
        <v>23</v>
      </c>
      <c r="C533" s="3" t="s">
        <v>168</v>
      </c>
      <c r="D533" s="3"/>
      <c r="E533" s="4"/>
      <c r="F533" s="4"/>
      <c r="G533" s="4"/>
      <c r="H533" s="5" t="s">
        <v>4</v>
      </c>
      <c r="I533" s="321" t="s">
        <v>169</v>
      </c>
      <c r="J533" s="322">
        <v>11</v>
      </c>
      <c r="K533" s="236">
        <f>SUM(K540:K547)</f>
        <v>410000</v>
      </c>
      <c r="L533" s="349">
        <f>SUM(L540:L547)</f>
        <v>410000</v>
      </c>
    </row>
    <row r="534" spans="2:14" ht="15" customHeight="1" x14ac:dyDescent="0.25">
      <c r="B534" s="351" t="s">
        <v>23</v>
      </c>
      <c r="C534" s="387" t="s">
        <v>168</v>
      </c>
      <c r="D534" s="353"/>
      <c r="E534" s="353"/>
      <c r="F534" s="353"/>
      <c r="G534" s="354"/>
      <c r="H534" s="354">
        <v>32</v>
      </c>
      <c r="I534" s="355" t="s">
        <v>27</v>
      </c>
      <c r="J534" s="322">
        <v>11</v>
      </c>
      <c r="K534" s="378">
        <f>K536+K537+K538</f>
        <v>410000</v>
      </c>
      <c r="L534" s="378">
        <f>L536+L537+L538</f>
        <v>330000</v>
      </c>
    </row>
    <row r="535" spans="2:14" ht="15" customHeight="1" x14ac:dyDescent="0.25">
      <c r="B535" s="351" t="s">
        <v>23</v>
      </c>
      <c r="C535" s="387" t="s">
        <v>168</v>
      </c>
      <c r="D535" s="353"/>
      <c r="E535" s="353"/>
      <c r="F535" s="353"/>
      <c r="G535" s="354"/>
      <c r="H535" s="354">
        <v>38</v>
      </c>
      <c r="I535" s="355" t="s">
        <v>29</v>
      </c>
      <c r="J535" s="322">
        <v>11</v>
      </c>
      <c r="K535" s="426">
        <f>K539</f>
        <v>0</v>
      </c>
      <c r="L535" s="378">
        <f>L539</f>
        <v>80000</v>
      </c>
    </row>
    <row r="536" spans="2:14" ht="15" customHeight="1" x14ac:dyDescent="0.25">
      <c r="B536" s="251" t="s">
        <v>23</v>
      </c>
      <c r="C536" s="285" t="s">
        <v>168</v>
      </c>
      <c r="D536" s="288"/>
      <c r="E536" s="288"/>
      <c r="F536" s="288"/>
      <c r="G536" s="277"/>
      <c r="H536" s="293">
        <v>323</v>
      </c>
      <c r="I536" s="256" t="s">
        <v>36</v>
      </c>
      <c r="J536" s="322">
        <v>11</v>
      </c>
      <c r="K536" s="328">
        <f>K540+K541+K542</f>
        <v>160000</v>
      </c>
      <c r="L536" s="331">
        <f>L540+L541+L542</f>
        <v>180000</v>
      </c>
      <c r="N536" s="413"/>
    </row>
    <row r="537" spans="2:14" ht="15" customHeight="1" x14ac:dyDescent="0.25">
      <c r="B537" s="251" t="s">
        <v>23</v>
      </c>
      <c r="C537" s="285" t="s">
        <v>168</v>
      </c>
      <c r="D537" s="288"/>
      <c r="E537" s="288"/>
      <c r="F537" s="288"/>
      <c r="G537" s="277"/>
      <c r="H537" s="293">
        <v>324</v>
      </c>
      <c r="I537" s="256" t="s">
        <v>37</v>
      </c>
      <c r="J537" s="322">
        <v>11</v>
      </c>
      <c r="K537" s="328">
        <f>K543</f>
        <v>45000</v>
      </c>
      <c r="L537" s="331">
        <f>L543</f>
        <v>45000</v>
      </c>
    </row>
    <row r="538" spans="2:14" ht="15" customHeight="1" x14ac:dyDescent="0.25">
      <c r="B538" s="251" t="s">
        <v>23</v>
      </c>
      <c r="C538" s="285" t="s">
        <v>168</v>
      </c>
      <c r="D538" s="288"/>
      <c r="E538" s="288"/>
      <c r="F538" s="288"/>
      <c r="G538" s="277"/>
      <c r="H538" s="293">
        <v>329</v>
      </c>
      <c r="I538" s="256" t="s">
        <v>38</v>
      </c>
      <c r="J538" s="322">
        <v>11</v>
      </c>
      <c r="K538" s="328">
        <f>K544+K545+K546</f>
        <v>205000</v>
      </c>
      <c r="L538" s="331">
        <f>L544+L545+L546</f>
        <v>105000</v>
      </c>
    </row>
    <row r="539" spans="2:14" ht="15" customHeight="1" x14ac:dyDescent="0.25">
      <c r="B539" s="251" t="s">
        <v>23</v>
      </c>
      <c r="C539" s="285" t="s">
        <v>168</v>
      </c>
      <c r="D539" s="288"/>
      <c r="E539" s="288"/>
      <c r="F539" s="288"/>
      <c r="G539" s="277"/>
      <c r="H539" s="293">
        <v>381</v>
      </c>
      <c r="I539" s="256" t="s">
        <v>84</v>
      </c>
      <c r="J539" s="322">
        <v>11</v>
      </c>
      <c r="K539" s="331">
        <f>K547</f>
        <v>0</v>
      </c>
      <c r="L539" s="331">
        <f>L547</f>
        <v>80000</v>
      </c>
    </row>
    <row r="540" spans="2:14" ht="15" customHeight="1" x14ac:dyDescent="0.25">
      <c r="B540" s="7" t="s">
        <v>23</v>
      </c>
      <c r="C540" s="8" t="s">
        <v>168</v>
      </c>
      <c r="D540" s="8">
        <v>3</v>
      </c>
      <c r="E540" s="1">
        <v>2</v>
      </c>
      <c r="F540" s="1">
        <v>3</v>
      </c>
      <c r="G540" s="1">
        <v>5</v>
      </c>
      <c r="H540" s="13">
        <v>323</v>
      </c>
      <c r="I540" s="324" t="s">
        <v>59</v>
      </c>
      <c r="J540" s="322">
        <v>11</v>
      </c>
      <c r="K540" s="167">
        <v>20000</v>
      </c>
      <c r="L540" s="174">
        <v>20000</v>
      </c>
    </row>
    <row r="541" spans="2:14" ht="15" customHeight="1" x14ac:dyDescent="0.25">
      <c r="B541" s="7" t="s">
        <v>23</v>
      </c>
      <c r="C541" s="8" t="s">
        <v>168</v>
      </c>
      <c r="D541" s="8">
        <v>3</v>
      </c>
      <c r="E541" s="1">
        <v>2</v>
      </c>
      <c r="F541" s="1">
        <v>3</v>
      </c>
      <c r="G541" s="1">
        <v>7</v>
      </c>
      <c r="H541" s="13">
        <v>323</v>
      </c>
      <c r="I541" s="324" t="s">
        <v>61</v>
      </c>
      <c r="J541" s="322">
        <v>11</v>
      </c>
      <c r="K541" s="167">
        <v>115000</v>
      </c>
      <c r="L541" s="174">
        <v>135000</v>
      </c>
    </row>
    <row r="542" spans="2:14" ht="15" customHeight="1" x14ac:dyDescent="0.25">
      <c r="B542" s="7" t="s">
        <v>23</v>
      </c>
      <c r="C542" s="8" t="s">
        <v>168</v>
      </c>
      <c r="D542" s="8">
        <v>3</v>
      </c>
      <c r="E542" s="1">
        <v>2</v>
      </c>
      <c r="F542" s="1">
        <v>3</v>
      </c>
      <c r="G542" s="1">
        <v>9</v>
      </c>
      <c r="H542" s="13">
        <v>323</v>
      </c>
      <c r="I542" s="324" t="s">
        <v>62</v>
      </c>
      <c r="J542" s="322">
        <v>11</v>
      </c>
      <c r="K542" s="167">
        <v>25000</v>
      </c>
      <c r="L542" s="174">
        <v>25000</v>
      </c>
    </row>
    <row r="543" spans="2:14" ht="15" customHeight="1" x14ac:dyDescent="0.25">
      <c r="B543" s="7" t="s">
        <v>23</v>
      </c>
      <c r="C543" s="8" t="s">
        <v>168</v>
      </c>
      <c r="D543" s="8">
        <v>3</v>
      </c>
      <c r="E543" s="1">
        <v>2</v>
      </c>
      <c r="F543" s="1">
        <v>4</v>
      </c>
      <c r="G543" s="1">
        <v>1</v>
      </c>
      <c r="H543" s="13">
        <v>324</v>
      </c>
      <c r="I543" s="323" t="s">
        <v>37</v>
      </c>
      <c r="J543" s="322">
        <v>11</v>
      </c>
      <c r="K543" s="167">
        <v>45000</v>
      </c>
      <c r="L543" s="174">
        <v>45000</v>
      </c>
    </row>
    <row r="544" spans="2:14" ht="25.5" x14ac:dyDescent="0.25">
      <c r="B544" s="7" t="s">
        <v>23</v>
      </c>
      <c r="C544" s="8" t="s">
        <v>168</v>
      </c>
      <c r="D544" s="8">
        <v>3</v>
      </c>
      <c r="E544" s="1">
        <v>2</v>
      </c>
      <c r="F544" s="1">
        <v>9</v>
      </c>
      <c r="G544" s="1">
        <v>1</v>
      </c>
      <c r="H544" s="13">
        <v>329</v>
      </c>
      <c r="I544" s="324" t="s">
        <v>63</v>
      </c>
      <c r="J544" s="322">
        <v>11</v>
      </c>
      <c r="K544" s="167">
        <v>35000</v>
      </c>
      <c r="L544" s="174">
        <v>35000</v>
      </c>
    </row>
    <row r="545" spans="2:14" ht="15" customHeight="1" x14ac:dyDescent="0.25">
      <c r="B545" s="7" t="s">
        <v>23</v>
      </c>
      <c r="C545" s="8" t="s">
        <v>168</v>
      </c>
      <c r="D545" s="8">
        <v>3</v>
      </c>
      <c r="E545" s="1">
        <v>2</v>
      </c>
      <c r="F545" s="1">
        <v>9</v>
      </c>
      <c r="G545" s="1">
        <v>3</v>
      </c>
      <c r="H545" s="13">
        <v>329</v>
      </c>
      <c r="I545" s="324" t="s">
        <v>65</v>
      </c>
      <c r="J545" s="322">
        <v>11</v>
      </c>
      <c r="K545" s="167">
        <v>70000</v>
      </c>
      <c r="L545" s="174">
        <v>50000</v>
      </c>
    </row>
    <row r="546" spans="2:14" ht="15" customHeight="1" x14ac:dyDescent="0.25">
      <c r="B546" s="7" t="s">
        <v>23</v>
      </c>
      <c r="C546" s="8" t="s">
        <v>168</v>
      </c>
      <c r="D546" s="8">
        <v>3</v>
      </c>
      <c r="E546" s="1">
        <v>2</v>
      </c>
      <c r="F546" s="1">
        <v>9</v>
      </c>
      <c r="G546" s="25">
        <v>4</v>
      </c>
      <c r="H546" s="25">
        <v>329</v>
      </c>
      <c r="I546" s="325" t="s">
        <v>170</v>
      </c>
      <c r="J546" s="322">
        <v>11</v>
      </c>
      <c r="K546" s="167">
        <v>100000</v>
      </c>
      <c r="L546" s="174">
        <v>20000</v>
      </c>
    </row>
    <row r="547" spans="2:14" ht="15" customHeight="1" x14ac:dyDescent="0.25">
      <c r="B547" s="16" t="s">
        <v>23</v>
      </c>
      <c r="C547" s="17" t="s">
        <v>168</v>
      </c>
      <c r="D547" s="17">
        <v>3</v>
      </c>
      <c r="E547" s="146">
        <v>8</v>
      </c>
      <c r="F547" s="146">
        <v>1</v>
      </c>
      <c r="G547" s="147">
        <v>1</v>
      </c>
      <c r="H547" s="147">
        <v>381</v>
      </c>
      <c r="I547" s="432" t="s">
        <v>88</v>
      </c>
      <c r="J547" s="433">
        <v>11</v>
      </c>
      <c r="K547" s="167">
        <v>0</v>
      </c>
      <c r="L547" s="174">
        <v>80000</v>
      </c>
    </row>
    <row r="548" spans="2:14" ht="25.5" x14ac:dyDescent="0.25">
      <c r="B548" s="2" t="s">
        <v>23</v>
      </c>
      <c r="C548" s="3" t="s">
        <v>171</v>
      </c>
      <c r="D548" s="3"/>
      <c r="E548" s="4"/>
      <c r="F548" s="4"/>
      <c r="G548" s="4"/>
      <c r="H548" s="5" t="s">
        <v>4</v>
      </c>
      <c r="I548" s="321" t="s">
        <v>172</v>
      </c>
      <c r="J548" s="322">
        <v>11</v>
      </c>
      <c r="K548" s="236">
        <f>SUM(K553:K557)</f>
        <v>132000</v>
      </c>
      <c r="L548" s="349">
        <f>SUM(L553:L557)</f>
        <v>380532</v>
      </c>
    </row>
    <row r="549" spans="2:14" x14ac:dyDescent="0.25">
      <c r="B549" s="351" t="s">
        <v>23</v>
      </c>
      <c r="C549" s="387" t="s">
        <v>171</v>
      </c>
      <c r="D549" s="353"/>
      <c r="E549" s="353"/>
      <c r="F549" s="353"/>
      <c r="G549" s="354"/>
      <c r="H549" s="354">
        <v>32</v>
      </c>
      <c r="I549" s="355" t="s">
        <v>27</v>
      </c>
      <c r="J549" s="322">
        <v>11</v>
      </c>
      <c r="K549" s="378">
        <f>K550+K551+K552</f>
        <v>132000</v>
      </c>
      <c r="L549" s="378">
        <f>L550+L551+L552</f>
        <v>380532</v>
      </c>
    </row>
    <row r="550" spans="2:14" x14ac:dyDescent="0.25">
      <c r="B550" s="251" t="s">
        <v>23</v>
      </c>
      <c r="C550" s="285" t="s">
        <v>171</v>
      </c>
      <c r="D550" s="288"/>
      <c r="E550" s="288"/>
      <c r="F550" s="288"/>
      <c r="G550" s="277"/>
      <c r="H550" s="293">
        <v>323</v>
      </c>
      <c r="I550" s="256" t="s">
        <v>36</v>
      </c>
      <c r="J550" s="322">
        <v>11</v>
      </c>
      <c r="K550" s="328">
        <f>K553+K554</f>
        <v>55000</v>
      </c>
      <c r="L550" s="331">
        <f>L553+L554</f>
        <v>303532</v>
      </c>
      <c r="N550" s="413"/>
    </row>
    <row r="551" spans="2:14" ht="15" customHeight="1" x14ac:dyDescent="0.25">
      <c r="B551" s="251" t="s">
        <v>23</v>
      </c>
      <c r="C551" s="285" t="s">
        <v>171</v>
      </c>
      <c r="D551" s="288"/>
      <c r="E551" s="288"/>
      <c r="F551" s="288"/>
      <c r="G551" s="277"/>
      <c r="H551" s="293">
        <v>324</v>
      </c>
      <c r="I551" s="256" t="s">
        <v>37</v>
      </c>
      <c r="J551" s="322">
        <v>11</v>
      </c>
      <c r="K551" s="331">
        <f>K555</f>
        <v>40000</v>
      </c>
      <c r="L551" s="331">
        <f>L555</f>
        <v>40000</v>
      </c>
    </row>
    <row r="552" spans="2:14" ht="15" customHeight="1" x14ac:dyDescent="0.25">
      <c r="B552" s="251" t="s">
        <v>23</v>
      </c>
      <c r="C552" s="285" t="s">
        <v>171</v>
      </c>
      <c r="D552" s="288"/>
      <c r="E552" s="288"/>
      <c r="F552" s="288"/>
      <c r="G552" s="277"/>
      <c r="H552" s="293">
        <v>329</v>
      </c>
      <c r="I552" s="256" t="s">
        <v>38</v>
      </c>
      <c r="J552" s="322">
        <v>11</v>
      </c>
      <c r="K552" s="331">
        <f>K556+K557</f>
        <v>37000</v>
      </c>
      <c r="L552" s="331">
        <f>L556+L557</f>
        <v>37000</v>
      </c>
    </row>
    <row r="553" spans="2:14" ht="15" customHeight="1" x14ac:dyDescent="0.25">
      <c r="B553" s="7" t="s">
        <v>23</v>
      </c>
      <c r="C553" s="8" t="s">
        <v>171</v>
      </c>
      <c r="D553" s="8">
        <v>3</v>
      </c>
      <c r="E553" s="1">
        <v>2</v>
      </c>
      <c r="F553" s="1">
        <v>3</v>
      </c>
      <c r="G553" s="1">
        <v>7</v>
      </c>
      <c r="H553" s="13">
        <v>323</v>
      </c>
      <c r="I553" s="324" t="s">
        <v>61</v>
      </c>
      <c r="J553" s="330">
        <v>11</v>
      </c>
      <c r="K553" s="167">
        <v>35000</v>
      </c>
      <c r="L553" s="174">
        <v>283532</v>
      </c>
    </row>
    <row r="554" spans="2:14" ht="15" customHeight="1" x14ac:dyDescent="0.25">
      <c r="B554" s="7" t="s">
        <v>23</v>
      </c>
      <c r="C554" s="8" t="s">
        <v>171</v>
      </c>
      <c r="D554" s="8">
        <v>3</v>
      </c>
      <c r="E554" s="1">
        <v>2</v>
      </c>
      <c r="F554" s="1">
        <v>3</v>
      </c>
      <c r="G554" s="1">
        <v>9</v>
      </c>
      <c r="H554" s="13">
        <v>323</v>
      </c>
      <c r="I554" s="324" t="s">
        <v>62</v>
      </c>
      <c r="J554" s="330">
        <v>11</v>
      </c>
      <c r="K554" s="167">
        <v>20000</v>
      </c>
      <c r="L554" s="174">
        <v>20000</v>
      </c>
    </row>
    <row r="555" spans="2:14" ht="15" customHeight="1" x14ac:dyDescent="0.25">
      <c r="B555" s="7" t="s">
        <v>23</v>
      </c>
      <c r="C555" s="8" t="s">
        <v>171</v>
      </c>
      <c r="D555" s="8">
        <v>3</v>
      </c>
      <c r="E555" s="1">
        <v>2</v>
      </c>
      <c r="F555" s="1">
        <v>4</v>
      </c>
      <c r="G555" s="1">
        <v>1</v>
      </c>
      <c r="H555" s="13">
        <v>324</v>
      </c>
      <c r="I555" s="323" t="s">
        <v>37</v>
      </c>
      <c r="J555" s="330">
        <v>11</v>
      </c>
      <c r="K555" s="167">
        <v>40000</v>
      </c>
      <c r="L555" s="174">
        <v>40000</v>
      </c>
    </row>
    <row r="556" spans="2:14" ht="25.5" x14ac:dyDescent="0.25">
      <c r="B556" s="7" t="s">
        <v>23</v>
      </c>
      <c r="C556" s="8" t="s">
        <v>171</v>
      </c>
      <c r="D556" s="8">
        <v>3</v>
      </c>
      <c r="E556" s="1">
        <v>2</v>
      </c>
      <c r="F556" s="1">
        <v>9</v>
      </c>
      <c r="G556" s="1">
        <v>1</v>
      </c>
      <c r="H556" s="13">
        <v>329</v>
      </c>
      <c r="I556" s="324" t="s">
        <v>63</v>
      </c>
      <c r="J556" s="330">
        <v>11</v>
      </c>
      <c r="K556" s="167">
        <v>25000</v>
      </c>
      <c r="L556" s="174">
        <v>25000</v>
      </c>
    </row>
    <row r="557" spans="2:14" ht="15" customHeight="1" x14ac:dyDescent="0.25">
      <c r="B557" s="7" t="s">
        <v>23</v>
      </c>
      <c r="C557" s="8" t="s">
        <v>171</v>
      </c>
      <c r="D557" s="14">
        <v>3</v>
      </c>
      <c r="E557" s="15">
        <v>2</v>
      </c>
      <c r="F557" s="15">
        <v>9</v>
      </c>
      <c r="G557" s="15">
        <v>3</v>
      </c>
      <c r="H557" s="13">
        <v>329</v>
      </c>
      <c r="I557" s="324" t="s">
        <v>65</v>
      </c>
      <c r="J557" s="330">
        <v>11</v>
      </c>
      <c r="K557" s="167">
        <v>12000</v>
      </c>
      <c r="L557" s="174">
        <v>12000</v>
      </c>
    </row>
    <row r="558" spans="2:14" x14ac:dyDescent="0.25">
      <c r="B558" s="33" t="s">
        <v>3</v>
      </c>
      <c r="C558" s="34" t="s">
        <v>173</v>
      </c>
      <c r="D558" s="34"/>
      <c r="E558" s="35"/>
      <c r="F558" s="35"/>
      <c r="G558" s="35"/>
      <c r="H558" s="36" t="s">
        <v>4</v>
      </c>
      <c r="I558" s="248" t="s">
        <v>174</v>
      </c>
      <c r="J558" s="332">
        <v>11</v>
      </c>
      <c r="K558" s="240">
        <f>K561</f>
        <v>1000000</v>
      </c>
      <c r="L558" s="350">
        <f>L561</f>
        <v>1000000</v>
      </c>
    </row>
    <row r="559" spans="2:14" ht="25.5" x14ac:dyDescent="0.25">
      <c r="B559" s="379" t="s">
        <v>3</v>
      </c>
      <c r="C559" s="385" t="s">
        <v>173</v>
      </c>
      <c r="D559" s="386"/>
      <c r="E559" s="386"/>
      <c r="F559" s="386"/>
      <c r="G559" s="383"/>
      <c r="H559" s="383">
        <v>36</v>
      </c>
      <c r="I559" s="362" t="s">
        <v>82</v>
      </c>
      <c r="J559" s="339">
        <v>11</v>
      </c>
      <c r="K559" s="378">
        <f t="shared" ref="K559:L559" si="102">K560</f>
        <v>1000000</v>
      </c>
      <c r="L559" s="378">
        <f t="shared" si="102"/>
        <v>1000000</v>
      </c>
    </row>
    <row r="560" spans="2:14" ht="25.5" x14ac:dyDescent="0.25">
      <c r="B560" s="251" t="s">
        <v>3</v>
      </c>
      <c r="C560" s="285" t="s">
        <v>173</v>
      </c>
      <c r="D560" s="288"/>
      <c r="E560" s="288"/>
      <c r="F560" s="288"/>
      <c r="G560" s="277"/>
      <c r="H560" s="293">
        <v>366</v>
      </c>
      <c r="I560" s="256" t="s">
        <v>115</v>
      </c>
      <c r="J560" s="228">
        <v>11</v>
      </c>
      <c r="K560" s="328">
        <f>K561</f>
        <v>1000000</v>
      </c>
      <c r="L560" s="331">
        <f>L561</f>
        <v>1000000</v>
      </c>
    </row>
    <row r="561" spans="2:14" ht="25.5" x14ac:dyDescent="0.25">
      <c r="B561" s="16" t="s">
        <v>3</v>
      </c>
      <c r="C561" s="154" t="s">
        <v>173</v>
      </c>
      <c r="D561" s="17">
        <v>3</v>
      </c>
      <c r="E561" s="146">
        <v>6</v>
      </c>
      <c r="F561" s="146">
        <v>6</v>
      </c>
      <c r="G561" s="146">
        <v>1</v>
      </c>
      <c r="H561" s="20">
        <v>366</v>
      </c>
      <c r="I561" s="161" t="s">
        <v>121</v>
      </c>
      <c r="J561" s="113">
        <v>11</v>
      </c>
      <c r="K561" s="167">
        <v>1000000</v>
      </c>
      <c r="L561" s="174">
        <v>1000000</v>
      </c>
    </row>
    <row r="562" spans="2:14" ht="25.5" x14ac:dyDescent="0.25">
      <c r="B562" s="2" t="s">
        <v>23</v>
      </c>
      <c r="C562" s="3" t="s">
        <v>175</v>
      </c>
      <c r="D562" s="3"/>
      <c r="E562" s="4"/>
      <c r="F562" s="4"/>
      <c r="G562" s="4"/>
      <c r="H562" s="338" t="s">
        <v>4</v>
      </c>
      <c r="I562" s="321" t="s">
        <v>176</v>
      </c>
      <c r="J562" s="339">
        <v>11</v>
      </c>
      <c r="K562" s="236">
        <f>SUM(K568:K570)</f>
        <v>700000</v>
      </c>
      <c r="L562" s="349">
        <f>SUM(L568:L570)</f>
        <v>4600000</v>
      </c>
      <c r="N562" s="413"/>
    </row>
    <row r="563" spans="2:14" x14ac:dyDescent="0.25">
      <c r="B563" s="351" t="s">
        <v>23</v>
      </c>
      <c r="C563" s="387" t="s">
        <v>175</v>
      </c>
      <c r="D563" s="353"/>
      <c r="E563" s="353"/>
      <c r="F563" s="353"/>
      <c r="G563" s="354"/>
      <c r="H563" s="354">
        <v>32</v>
      </c>
      <c r="I563" s="355" t="s">
        <v>27</v>
      </c>
      <c r="J563" s="339">
        <v>11</v>
      </c>
      <c r="K563" s="378">
        <f>K565+K569</f>
        <v>200000</v>
      </c>
      <c r="L563" s="378">
        <f>L565+L569</f>
        <v>1950000</v>
      </c>
      <c r="N563" s="413"/>
    </row>
    <row r="564" spans="2:14" ht="25.5" x14ac:dyDescent="0.25">
      <c r="B564" s="351" t="s">
        <v>23</v>
      </c>
      <c r="C564" s="387" t="s">
        <v>175</v>
      </c>
      <c r="D564" s="353"/>
      <c r="E564" s="353"/>
      <c r="F564" s="353"/>
      <c r="G564" s="354"/>
      <c r="H564" s="354">
        <v>42</v>
      </c>
      <c r="I564" s="355" t="s">
        <v>30</v>
      </c>
      <c r="J564" s="339">
        <v>11</v>
      </c>
      <c r="K564" s="378">
        <f t="shared" ref="K564:L564" si="103">K567</f>
        <v>500000</v>
      </c>
      <c r="L564" s="378">
        <f t="shared" si="103"/>
        <v>2650000</v>
      </c>
    </row>
    <row r="565" spans="2:14" x14ac:dyDescent="0.25">
      <c r="B565" s="251" t="s">
        <v>23</v>
      </c>
      <c r="C565" s="393" t="s">
        <v>175</v>
      </c>
      <c r="D565" s="288"/>
      <c r="E565" s="288"/>
      <c r="F565" s="288"/>
      <c r="G565" s="277"/>
      <c r="H565" s="293">
        <v>322</v>
      </c>
      <c r="I565" s="256" t="s">
        <v>35</v>
      </c>
      <c r="J565" s="228">
        <v>11</v>
      </c>
      <c r="K565" s="328">
        <f t="shared" ref="K565:L565" si="104">K568</f>
        <v>200000</v>
      </c>
      <c r="L565" s="331">
        <f t="shared" si="104"/>
        <v>50000</v>
      </c>
    </row>
    <row r="566" spans="2:14" x14ac:dyDescent="0.25">
      <c r="B566" s="251" t="s">
        <v>23</v>
      </c>
      <c r="C566" s="393" t="s">
        <v>175</v>
      </c>
      <c r="D566" s="288"/>
      <c r="E566" s="288"/>
      <c r="F566" s="288"/>
      <c r="G566" s="277"/>
      <c r="H566" s="293">
        <v>323</v>
      </c>
      <c r="I566" s="256" t="s">
        <v>36</v>
      </c>
      <c r="J566" s="228">
        <v>11</v>
      </c>
      <c r="K566" s="328">
        <f>K569</f>
        <v>0</v>
      </c>
      <c r="L566" s="331">
        <f>L569</f>
        <v>1900000</v>
      </c>
    </row>
    <row r="567" spans="2:14" x14ac:dyDescent="0.25">
      <c r="B567" s="251" t="s">
        <v>23</v>
      </c>
      <c r="C567" s="393" t="s">
        <v>175</v>
      </c>
      <c r="D567" s="288"/>
      <c r="E567" s="288"/>
      <c r="F567" s="288"/>
      <c r="G567" s="288"/>
      <c r="H567" s="337">
        <v>422</v>
      </c>
      <c r="I567" s="256" t="s">
        <v>94</v>
      </c>
      <c r="J567" s="228">
        <v>11</v>
      </c>
      <c r="K567" s="331">
        <f>K570</f>
        <v>500000</v>
      </c>
      <c r="L567" s="331">
        <f>L570</f>
        <v>2650000</v>
      </c>
    </row>
    <row r="568" spans="2:14" x14ac:dyDescent="0.25">
      <c r="B568" s="16" t="s">
        <v>23</v>
      </c>
      <c r="C568" s="154" t="s">
        <v>175</v>
      </c>
      <c r="D568" s="17">
        <v>3</v>
      </c>
      <c r="E568" s="146">
        <v>2</v>
      </c>
      <c r="F568" s="146">
        <v>2</v>
      </c>
      <c r="G568" s="146">
        <v>5</v>
      </c>
      <c r="H568" s="20">
        <v>322</v>
      </c>
      <c r="I568" s="161" t="s">
        <v>54</v>
      </c>
      <c r="J568" s="113">
        <v>11</v>
      </c>
      <c r="K568" s="167">
        <v>200000</v>
      </c>
      <c r="L568" s="174">
        <v>50000</v>
      </c>
    </row>
    <row r="569" spans="2:14" x14ac:dyDescent="0.25">
      <c r="B569" s="16" t="s">
        <v>23</v>
      </c>
      <c r="C569" s="344" t="s">
        <v>175</v>
      </c>
      <c r="D569" s="146">
        <v>3</v>
      </c>
      <c r="E569" s="146">
        <v>2</v>
      </c>
      <c r="F569" s="146">
        <v>3</v>
      </c>
      <c r="G569" s="146">
        <v>7</v>
      </c>
      <c r="H569" s="20">
        <v>323</v>
      </c>
      <c r="I569" s="345" t="s">
        <v>61</v>
      </c>
      <c r="J569" s="113">
        <v>11</v>
      </c>
      <c r="K569" s="167">
        <v>0</v>
      </c>
      <c r="L569" s="174">
        <v>1900000</v>
      </c>
    </row>
    <row r="570" spans="2:14" x14ac:dyDescent="0.25">
      <c r="B570" s="343" t="s">
        <v>23</v>
      </c>
      <c r="C570" s="344" t="s">
        <v>175</v>
      </c>
      <c r="D570" s="146">
        <v>4</v>
      </c>
      <c r="E570" s="146">
        <v>2</v>
      </c>
      <c r="F570" s="146">
        <v>2</v>
      </c>
      <c r="G570" s="146">
        <v>5</v>
      </c>
      <c r="H570" s="20">
        <v>422</v>
      </c>
      <c r="I570" s="345" t="s">
        <v>177</v>
      </c>
      <c r="J570" s="336">
        <v>11</v>
      </c>
      <c r="K570" s="167">
        <f>1000000-500000</f>
        <v>500000</v>
      </c>
      <c r="L570" s="174">
        <v>2650000</v>
      </c>
    </row>
    <row r="571" spans="2:14" ht="25.5" x14ac:dyDescent="0.25">
      <c r="B571" s="2" t="s">
        <v>23</v>
      </c>
      <c r="C571" s="3" t="s">
        <v>185</v>
      </c>
      <c r="D571" s="3"/>
      <c r="E571" s="4"/>
      <c r="F571" s="4"/>
      <c r="G571" s="4"/>
      <c r="H571" s="338" t="s">
        <v>4</v>
      </c>
      <c r="I571" s="321" t="s">
        <v>186</v>
      </c>
      <c r="J571" s="339">
        <v>11</v>
      </c>
      <c r="K571" s="236">
        <f>SUM(K574:K575)</f>
        <v>240000</v>
      </c>
      <c r="L571" s="349">
        <f>SUM(L574:L575)</f>
        <v>240000</v>
      </c>
    </row>
    <row r="572" spans="2:14" x14ac:dyDescent="0.25">
      <c r="B572" s="388" t="s">
        <v>23</v>
      </c>
      <c r="C572" s="387" t="s">
        <v>185</v>
      </c>
      <c r="D572" s="353"/>
      <c r="E572" s="353"/>
      <c r="F572" s="353"/>
      <c r="G572" s="353"/>
      <c r="H572" s="387">
        <v>32</v>
      </c>
      <c r="I572" s="355" t="s">
        <v>27</v>
      </c>
      <c r="J572" s="339">
        <v>11</v>
      </c>
      <c r="K572" s="378">
        <f t="shared" ref="K572:L572" si="105">K573</f>
        <v>240000</v>
      </c>
      <c r="L572" s="378">
        <f t="shared" si="105"/>
        <v>240000</v>
      </c>
    </row>
    <row r="573" spans="2:14" x14ac:dyDescent="0.25">
      <c r="B573" s="341" t="s">
        <v>23</v>
      </c>
      <c r="C573" s="393" t="s">
        <v>185</v>
      </c>
      <c r="D573" s="288"/>
      <c r="E573" s="288"/>
      <c r="F573" s="288"/>
      <c r="G573" s="288"/>
      <c r="H573" s="337">
        <v>323</v>
      </c>
      <c r="I573" s="342" t="s">
        <v>36</v>
      </c>
      <c r="J573" s="228">
        <v>11</v>
      </c>
      <c r="K573" s="328">
        <f t="shared" ref="K573:L573" si="106">K574+K575</f>
        <v>240000</v>
      </c>
      <c r="L573" s="331">
        <f t="shared" si="106"/>
        <v>240000</v>
      </c>
    </row>
    <row r="574" spans="2:14" x14ac:dyDescent="0.25">
      <c r="B574" s="346" t="s">
        <v>23</v>
      </c>
      <c r="C574" s="344" t="s">
        <v>185</v>
      </c>
      <c r="D574" s="146">
        <v>3</v>
      </c>
      <c r="E574" s="146">
        <v>2</v>
      </c>
      <c r="F574" s="146">
        <v>3</v>
      </c>
      <c r="G574" s="146">
        <v>5</v>
      </c>
      <c r="H574" s="344">
        <v>323</v>
      </c>
      <c r="I574" s="347" t="s">
        <v>59</v>
      </c>
      <c r="J574" s="228">
        <v>11</v>
      </c>
      <c r="K574" s="216">
        <v>40000</v>
      </c>
      <c r="L574" s="216">
        <v>40000</v>
      </c>
    </row>
    <row r="575" spans="2:14" x14ac:dyDescent="0.25">
      <c r="B575" s="346" t="s">
        <v>23</v>
      </c>
      <c r="C575" s="344" t="s">
        <v>185</v>
      </c>
      <c r="D575" s="146">
        <v>3</v>
      </c>
      <c r="E575" s="146">
        <v>2</v>
      </c>
      <c r="F575" s="146">
        <v>3</v>
      </c>
      <c r="G575" s="146">
        <v>7</v>
      </c>
      <c r="H575" s="344">
        <v>323</v>
      </c>
      <c r="I575" s="347" t="s">
        <v>61</v>
      </c>
      <c r="J575" s="228">
        <v>11</v>
      </c>
      <c r="K575" s="216">
        <v>200000</v>
      </c>
      <c r="L575" s="216">
        <v>200000</v>
      </c>
    </row>
    <row r="576" spans="2:14" ht="38.25" x14ac:dyDescent="0.25">
      <c r="B576" s="33" t="s">
        <v>23</v>
      </c>
      <c r="C576" s="34" t="s">
        <v>187</v>
      </c>
      <c r="D576" s="34"/>
      <c r="E576" s="35"/>
      <c r="F576" s="35"/>
      <c r="G576" s="35"/>
      <c r="H576" s="36" t="s">
        <v>4</v>
      </c>
      <c r="I576" s="248" t="s">
        <v>197</v>
      </c>
      <c r="J576" s="399">
        <v>576</v>
      </c>
      <c r="K576" s="240">
        <f t="shared" ref="K576:L576" si="107">SUM(K579:K579)</f>
        <v>20000000</v>
      </c>
      <c r="L576" s="350">
        <f t="shared" si="107"/>
        <v>20000000</v>
      </c>
    </row>
    <row r="577" spans="2:13" ht="29.25" customHeight="1" x14ac:dyDescent="0.25">
      <c r="B577" s="379" t="s">
        <v>23</v>
      </c>
      <c r="C577" s="385" t="s">
        <v>187</v>
      </c>
      <c r="D577" s="386"/>
      <c r="E577" s="386"/>
      <c r="F577" s="386"/>
      <c r="G577" s="383"/>
      <c r="H577" s="383">
        <v>37</v>
      </c>
      <c r="I577" s="362" t="s">
        <v>114</v>
      </c>
      <c r="J577" s="399">
        <v>576</v>
      </c>
      <c r="K577" s="378">
        <f>K578</f>
        <v>20000000</v>
      </c>
      <c r="L577" s="378">
        <f>L578</f>
        <v>20000000</v>
      </c>
    </row>
    <row r="578" spans="2:13" ht="25.5" x14ac:dyDescent="0.25">
      <c r="B578" s="251" t="s">
        <v>23</v>
      </c>
      <c r="C578" s="393" t="s">
        <v>187</v>
      </c>
      <c r="D578" s="288"/>
      <c r="E578" s="288"/>
      <c r="F578" s="288"/>
      <c r="G578" s="277"/>
      <c r="H578" s="293">
        <v>372</v>
      </c>
      <c r="I578" s="256" t="s">
        <v>117</v>
      </c>
      <c r="J578" s="400">
        <v>576</v>
      </c>
      <c r="K578" s="328">
        <f>K579</f>
        <v>20000000</v>
      </c>
      <c r="L578" s="331">
        <f>L579</f>
        <v>20000000</v>
      </c>
    </row>
    <row r="579" spans="2:13" ht="17.25" customHeight="1" x14ac:dyDescent="0.25">
      <c r="B579" s="16" t="s">
        <v>23</v>
      </c>
      <c r="C579" s="154" t="s">
        <v>187</v>
      </c>
      <c r="D579" s="17">
        <v>3</v>
      </c>
      <c r="E579" s="146">
        <v>7</v>
      </c>
      <c r="F579" s="146">
        <v>2</v>
      </c>
      <c r="G579" s="146">
        <v>2</v>
      </c>
      <c r="H579" s="20">
        <v>372</v>
      </c>
      <c r="I579" s="161" t="s">
        <v>179</v>
      </c>
      <c r="J579" s="399">
        <v>576</v>
      </c>
      <c r="K579" s="167">
        <v>20000000</v>
      </c>
      <c r="L579" s="174">
        <v>20000000</v>
      </c>
    </row>
    <row r="580" spans="2:13" ht="38.25" x14ac:dyDescent="0.25">
      <c r="B580" s="33" t="s">
        <v>23</v>
      </c>
      <c r="C580" s="34" t="s">
        <v>210</v>
      </c>
      <c r="D580" s="34"/>
      <c r="E580" s="35"/>
      <c r="F580" s="35"/>
      <c r="G580" s="35"/>
      <c r="H580" s="36" t="s">
        <v>4</v>
      </c>
      <c r="I580" s="248" t="s">
        <v>209</v>
      </c>
      <c r="J580" s="399">
        <v>576</v>
      </c>
      <c r="K580" s="240">
        <f>SUM(K585:K587)</f>
        <v>0</v>
      </c>
      <c r="L580" s="350">
        <f>SUM(L585:L587)</f>
        <v>9500000</v>
      </c>
    </row>
    <row r="581" spans="2:13" x14ac:dyDescent="0.25">
      <c r="B581" s="379" t="s">
        <v>23</v>
      </c>
      <c r="C581" s="385" t="s">
        <v>210</v>
      </c>
      <c r="D581" s="386"/>
      <c r="E581" s="386"/>
      <c r="F581" s="386"/>
      <c r="G581" s="383"/>
      <c r="H581" s="383">
        <v>32</v>
      </c>
      <c r="I581" s="362" t="s">
        <v>27</v>
      </c>
      <c r="J581" s="399">
        <v>576</v>
      </c>
      <c r="K581" s="378">
        <f t="shared" ref="K581:L583" si="108">K583</f>
        <v>0</v>
      </c>
      <c r="L581" s="378">
        <f t="shared" si="108"/>
        <v>8500000</v>
      </c>
    </row>
    <row r="582" spans="2:13" ht="29.25" customHeight="1" x14ac:dyDescent="0.25">
      <c r="B582" s="379" t="s">
        <v>23</v>
      </c>
      <c r="C582" s="385" t="s">
        <v>210</v>
      </c>
      <c r="D582" s="386"/>
      <c r="E582" s="386"/>
      <c r="F582" s="386"/>
      <c r="G582" s="383"/>
      <c r="H582" s="383">
        <v>36</v>
      </c>
      <c r="I582" s="362" t="s">
        <v>82</v>
      </c>
      <c r="J582" s="399">
        <v>576</v>
      </c>
      <c r="K582" s="378">
        <f t="shared" si="108"/>
        <v>0</v>
      </c>
      <c r="L582" s="378">
        <f t="shared" si="108"/>
        <v>1000000</v>
      </c>
    </row>
    <row r="583" spans="2:13" ht="21" customHeight="1" x14ac:dyDescent="0.25">
      <c r="B583" s="251" t="s">
        <v>23</v>
      </c>
      <c r="C583" s="393" t="s">
        <v>210</v>
      </c>
      <c r="D583" s="288"/>
      <c r="E583" s="288"/>
      <c r="F583" s="288"/>
      <c r="G583" s="277"/>
      <c r="H583" s="293">
        <v>323</v>
      </c>
      <c r="I583" s="283" t="s">
        <v>36</v>
      </c>
      <c r="J583" s="400">
        <v>576</v>
      </c>
      <c r="K583" s="328">
        <f t="shared" si="108"/>
        <v>0</v>
      </c>
      <c r="L583" s="331">
        <f t="shared" si="108"/>
        <v>8500000</v>
      </c>
    </row>
    <row r="584" spans="2:13" x14ac:dyDescent="0.25">
      <c r="B584" s="251" t="s">
        <v>23</v>
      </c>
      <c r="C584" s="393" t="s">
        <v>210</v>
      </c>
      <c r="D584" s="288"/>
      <c r="E584" s="288"/>
      <c r="F584" s="288"/>
      <c r="G584" s="277"/>
      <c r="H584" s="293">
        <v>368</v>
      </c>
      <c r="I584" s="256" t="s">
        <v>149</v>
      </c>
      <c r="J584" s="400">
        <v>576</v>
      </c>
      <c r="K584" s="328">
        <f>K587+K586</f>
        <v>0</v>
      </c>
      <c r="L584" s="331">
        <f>L587+L586</f>
        <v>1000000</v>
      </c>
    </row>
    <row r="585" spans="2:13" ht="17.25" customHeight="1" x14ac:dyDescent="0.25">
      <c r="B585" s="16" t="s">
        <v>23</v>
      </c>
      <c r="C585" s="154" t="s">
        <v>210</v>
      </c>
      <c r="D585" s="17">
        <v>3</v>
      </c>
      <c r="E585" s="146">
        <v>2</v>
      </c>
      <c r="F585" s="146">
        <v>3</v>
      </c>
      <c r="G585" s="147">
        <v>5</v>
      </c>
      <c r="H585" s="147">
        <v>323</v>
      </c>
      <c r="I585" s="230" t="s">
        <v>59</v>
      </c>
      <c r="J585" s="399">
        <v>576</v>
      </c>
      <c r="K585" s="167">
        <v>0</v>
      </c>
      <c r="L585" s="174">
        <v>8500000</v>
      </c>
    </row>
    <row r="586" spans="2:13" ht="14.25" customHeight="1" x14ac:dyDescent="0.25">
      <c r="B586" s="16" t="s">
        <v>23</v>
      </c>
      <c r="C586" s="154" t="s">
        <v>210</v>
      </c>
      <c r="D586" s="17">
        <v>3</v>
      </c>
      <c r="E586" s="146">
        <v>6</v>
      </c>
      <c r="F586" s="146">
        <v>8</v>
      </c>
      <c r="G586" s="147">
        <v>1</v>
      </c>
      <c r="H586" s="147">
        <v>368</v>
      </c>
      <c r="I586" s="230" t="s">
        <v>200</v>
      </c>
      <c r="J586" s="399">
        <v>576</v>
      </c>
      <c r="K586" s="167">
        <v>0</v>
      </c>
      <c r="L586" s="174">
        <v>500000</v>
      </c>
    </row>
    <row r="587" spans="2:13" ht="18" customHeight="1" x14ac:dyDescent="0.25">
      <c r="B587" s="16" t="s">
        <v>23</v>
      </c>
      <c r="C587" s="154" t="s">
        <v>210</v>
      </c>
      <c r="D587" s="17">
        <v>3</v>
      </c>
      <c r="E587" s="146">
        <v>6</v>
      </c>
      <c r="F587" s="146">
        <v>8</v>
      </c>
      <c r="G587" s="146">
        <v>2</v>
      </c>
      <c r="H587" s="20">
        <v>368</v>
      </c>
      <c r="I587" s="230" t="s">
        <v>152</v>
      </c>
      <c r="J587" s="399">
        <v>576</v>
      </c>
      <c r="K587" s="167">
        <v>0</v>
      </c>
      <c r="L587" s="174">
        <v>500000</v>
      </c>
    </row>
    <row r="588" spans="2:13" x14ac:dyDescent="0.25">
      <c r="B588" s="33" t="s">
        <v>23</v>
      </c>
      <c r="C588" s="34" t="s">
        <v>207</v>
      </c>
      <c r="D588" s="34"/>
      <c r="E588" s="35"/>
      <c r="F588" s="35"/>
      <c r="G588" s="35"/>
      <c r="H588" s="36" t="s">
        <v>4</v>
      </c>
      <c r="I588" s="248" t="s">
        <v>198</v>
      </c>
      <c r="J588" s="399">
        <v>576</v>
      </c>
      <c r="K588" s="240">
        <f>SUM(K591)</f>
        <v>0</v>
      </c>
      <c r="L588" s="350">
        <f>SUM(L591)</f>
        <v>5000000</v>
      </c>
    </row>
    <row r="589" spans="2:13" x14ac:dyDescent="0.25">
      <c r="B589" s="379" t="s">
        <v>23</v>
      </c>
      <c r="C589" s="385" t="s">
        <v>207</v>
      </c>
      <c r="D589" s="386"/>
      <c r="E589" s="386"/>
      <c r="F589" s="386"/>
      <c r="G589" s="383"/>
      <c r="H589" s="383">
        <v>32</v>
      </c>
      <c r="I589" s="362" t="s">
        <v>27</v>
      </c>
      <c r="J589" s="399">
        <v>576</v>
      </c>
      <c r="K589" s="378">
        <f>K590</f>
        <v>0</v>
      </c>
      <c r="L589" s="378">
        <f>L590</f>
        <v>5000000</v>
      </c>
    </row>
    <row r="590" spans="2:13" ht="17.25" customHeight="1" x14ac:dyDescent="0.25">
      <c r="B590" s="251" t="s">
        <v>23</v>
      </c>
      <c r="C590" s="393" t="s">
        <v>207</v>
      </c>
      <c r="D590" s="288"/>
      <c r="E590" s="288"/>
      <c r="F590" s="288"/>
      <c r="G590" s="277"/>
      <c r="H590" s="293">
        <v>323</v>
      </c>
      <c r="I590" s="256" t="s">
        <v>36</v>
      </c>
      <c r="J590" s="400">
        <v>576</v>
      </c>
      <c r="K590" s="328">
        <f>K591</f>
        <v>0</v>
      </c>
      <c r="L590" s="331">
        <f>L591</f>
        <v>5000000</v>
      </c>
      <c r="M590" s="413"/>
    </row>
    <row r="591" spans="2:13" ht="15.75" customHeight="1" x14ac:dyDescent="0.25">
      <c r="B591" s="16" t="s">
        <v>23</v>
      </c>
      <c r="C591" s="154" t="s">
        <v>207</v>
      </c>
      <c r="D591" s="17">
        <v>3</v>
      </c>
      <c r="E591" s="146">
        <v>2</v>
      </c>
      <c r="F591" s="146">
        <v>3</v>
      </c>
      <c r="G591" s="147">
        <v>7</v>
      </c>
      <c r="H591" s="147">
        <v>323</v>
      </c>
      <c r="I591" s="230" t="s">
        <v>61</v>
      </c>
      <c r="J591" s="399">
        <v>576</v>
      </c>
      <c r="K591" s="167">
        <v>0</v>
      </c>
      <c r="L591" s="174">
        <v>5000000</v>
      </c>
    </row>
    <row r="592" spans="2:13" ht="34.5" customHeight="1" x14ac:dyDescent="0.25">
      <c r="B592" s="65" t="s">
        <v>3</v>
      </c>
      <c r="C592" s="58" t="s">
        <v>188</v>
      </c>
      <c r="D592" s="58"/>
      <c r="E592" s="59"/>
      <c r="F592" s="59"/>
      <c r="G592" s="60"/>
      <c r="H592" s="60" t="s">
        <v>4</v>
      </c>
      <c r="I592" s="61" t="s">
        <v>189</v>
      </c>
      <c r="J592" s="78">
        <v>12</v>
      </c>
      <c r="K592" s="236">
        <f>SUM(K600:K606)</f>
        <v>445930</v>
      </c>
      <c r="L592" s="349">
        <f>SUM(L600:L606)</f>
        <v>445930</v>
      </c>
    </row>
    <row r="593" spans="2:14" x14ac:dyDescent="0.25">
      <c r="B593" s="364" t="s">
        <v>3</v>
      </c>
      <c r="C593" s="365" t="s">
        <v>188</v>
      </c>
      <c r="D593" s="366"/>
      <c r="E593" s="367"/>
      <c r="F593" s="367"/>
      <c r="G593" s="370"/>
      <c r="H593" s="370">
        <v>31</v>
      </c>
      <c r="I593" s="355" t="s">
        <v>26</v>
      </c>
      <c r="J593" s="78">
        <v>12</v>
      </c>
      <c r="K593" s="377">
        <f>K595+K596</f>
        <v>355957</v>
      </c>
      <c r="L593" s="378">
        <f>L595+L596</f>
        <v>355957</v>
      </c>
    </row>
    <row r="594" spans="2:14" x14ac:dyDescent="0.25">
      <c r="B594" s="364" t="s">
        <v>3</v>
      </c>
      <c r="C594" s="365" t="s">
        <v>188</v>
      </c>
      <c r="D594" s="366"/>
      <c r="E594" s="367"/>
      <c r="F594" s="367"/>
      <c r="G594" s="370"/>
      <c r="H594" s="370">
        <v>32</v>
      </c>
      <c r="I594" s="355" t="s">
        <v>27</v>
      </c>
      <c r="J594" s="78">
        <v>12</v>
      </c>
      <c r="K594" s="377">
        <f>K597+K598+K599</f>
        <v>89973</v>
      </c>
      <c r="L594" s="378">
        <f>L597+L598+L599</f>
        <v>89973</v>
      </c>
      <c r="N594" s="413"/>
    </row>
    <row r="595" spans="2:14" x14ac:dyDescent="0.25">
      <c r="B595" s="284" t="s">
        <v>3</v>
      </c>
      <c r="C595" s="260" t="s">
        <v>188</v>
      </c>
      <c r="D595" s="273"/>
      <c r="E595" s="274"/>
      <c r="F595" s="274"/>
      <c r="G595" s="276"/>
      <c r="H595" s="276">
        <v>311</v>
      </c>
      <c r="I595" s="277" t="s">
        <v>31</v>
      </c>
      <c r="J595" s="78">
        <v>12</v>
      </c>
      <c r="K595" s="267">
        <f>K600</f>
        <v>305543</v>
      </c>
      <c r="L595" s="268">
        <f>L600</f>
        <v>305543</v>
      </c>
      <c r="N595" s="413"/>
    </row>
    <row r="596" spans="2:14" x14ac:dyDescent="0.25">
      <c r="B596" s="284" t="s">
        <v>3</v>
      </c>
      <c r="C596" s="260" t="s">
        <v>188</v>
      </c>
      <c r="D596" s="273"/>
      <c r="E596" s="274"/>
      <c r="F596" s="274"/>
      <c r="G596" s="276"/>
      <c r="H596" s="276">
        <v>313</v>
      </c>
      <c r="I596" s="277" t="s">
        <v>33</v>
      </c>
      <c r="J596" s="78">
        <v>12</v>
      </c>
      <c r="K596" s="267">
        <f>K601</f>
        <v>50414</v>
      </c>
      <c r="L596" s="268">
        <f>L601</f>
        <v>50414</v>
      </c>
    </row>
    <row r="597" spans="2:14" x14ac:dyDescent="0.25">
      <c r="B597" s="284" t="s">
        <v>3</v>
      </c>
      <c r="C597" s="260" t="s">
        <v>188</v>
      </c>
      <c r="D597" s="273"/>
      <c r="E597" s="274"/>
      <c r="F597" s="274"/>
      <c r="G597" s="276"/>
      <c r="H597" s="276">
        <v>321</v>
      </c>
      <c r="I597" s="277" t="s">
        <v>34</v>
      </c>
      <c r="J597" s="78">
        <v>12</v>
      </c>
      <c r="K597" s="267">
        <f>K602+K603</f>
        <v>6255</v>
      </c>
      <c r="L597" s="268">
        <f>L602+L603</f>
        <v>6255</v>
      </c>
    </row>
    <row r="598" spans="2:14" x14ac:dyDescent="0.25">
      <c r="B598" s="284" t="s">
        <v>3</v>
      </c>
      <c r="C598" s="260" t="s">
        <v>188</v>
      </c>
      <c r="D598" s="273"/>
      <c r="E598" s="274"/>
      <c r="F598" s="274"/>
      <c r="G598" s="275"/>
      <c r="H598" s="276">
        <v>322</v>
      </c>
      <c r="I598" s="277" t="s">
        <v>35</v>
      </c>
      <c r="J598" s="78">
        <v>12</v>
      </c>
      <c r="K598" s="267">
        <f>K604</f>
        <v>10678</v>
      </c>
      <c r="L598" s="268">
        <f>L604</f>
        <v>53393</v>
      </c>
    </row>
    <row r="599" spans="2:14" x14ac:dyDescent="0.25">
      <c r="B599" s="284" t="s">
        <v>3</v>
      </c>
      <c r="C599" s="260" t="s">
        <v>188</v>
      </c>
      <c r="D599" s="273"/>
      <c r="E599" s="274"/>
      <c r="F599" s="274"/>
      <c r="G599" s="276"/>
      <c r="H599" s="276">
        <v>323</v>
      </c>
      <c r="I599" s="277" t="s">
        <v>36</v>
      </c>
      <c r="J599" s="78">
        <v>12</v>
      </c>
      <c r="K599" s="267">
        <f>K605+K606</f>
        <v>73040</v>
      </c>
      <c r="L599" s="268">
        <f>L605+L606</f>
        <v>30325</v>
      </c>
    </row>
    <row r="600" spans="2:14" ht="15" customHeight="1" x14ac:dyDescent="0.25">
      <c r="B600" s="53" t="s">
        <v>3</v>
      </c>
      <c r="C600" s="17" t="s">
        <v>188</v>
      </c>
      <c r="D600" s="154">
        <v>3</v>
      </c>
      <c r="E600" s="162">
        <v>1</v>
      </c>
      <c r="F600" s="162">
        <v>1</v>
      </c>
      <c r="G600" s="163">
        <v>1</v>
      </c>
      <c r="H600" s="163">
        <v>311</v>
      </c>
      <c r="I600" s="194" t="s">
        <v>42</v>
      </c>
      <c r="J600" s="78">
        <v>12</v>
      </c>
      <c r="K600" s="201">
        <v>305543</v>
      </c>
      <c r="L600" s="217">
        <v>305543</v>
      </c>
    </row>
    <row r="601" spans="2:14" ht="15" customHeight="1" x14ac:dyDescent="0.25">
      <c r="B601" s="53" t="s">
        <v>3</v>
      </c>
      <c r="C601" s="17" t="s">
        <v>188</v>
      </c>
      <c r="D601" s="154">
        <v>3</v>
      </c>
      <c r="E601" s="162">
        <v>1</v>
      </c>
      <c r="F601" s="162">
        <v>3</v>
      </c>
      <c r="G601" s="163">
        <v>2</v>
      </c>
      <c r="H601" s="163">
        <v>313</v>
      </c>
      <c r="I601" s="194" t="s">
        <v>190</v>
      </c>
      <c r="J601" s="78">
        <v>12</v>
      </c>
      <c r="K601" s="201">
        <v>50414</v>
      </c>
      <c r="L601" s="217">
        <v>50414</v>
      </c>
    </row>
    <row r="602" spans="2:14" ht="15" customHeight="1" x14ac:dyDescent="0.25">
      <c r="B602" s="53" t="s">
        <v>3</v>
      </c>
      <c r="C602" s="17" t="s">
        <v>188</v>
      </c>
      <c r="D602" s="17">
        <v>3</v>
      </c>
      <c r="E602" s="146">
        <v>2</v>
      </c>
      <c r="F602" s="146">
        <v>1</v>
      </c>
      <c r="G602" s="147">
        <v>1</v>
      </c>
      <c r="H602" s="147">
        <v>321</v>
      </c>
      <c r="I602" s="164" t="s">
        <v>46</v>
      </c>
      <c r="J602" s="78">
        <v>12</v>
      </c>
      <c r="K602" s="201">
        <v>2250</v>
      </c>
      <c r="L602" s="217">
        <v>2250</v>
      </c>
    </row>
    <row r="603" spans="2:14" ht="15" customHeight="1" x14ac:dyDescent="0.25">
      <c r="B603" s="53" t="s">
        <v>3</v>
      </c>
      <c r="C603" s="17" t="s">
        <v>188</v>
      </c>
      <c r="D603" s="17">
        <v>3</v>
      </c>
      <c r="E603" s="146">
        <v>2</v>
      </c>
      <c r="F603" s="146">
        <v>1</v>
      </c>
      <c r="G603" s="147">
        <v>3</v>
      </c>
      <c r="H603" s="147">
        <v>321</v>
      </c>
      <c r="I603" s="164" t="s">
        <v>212</v>
      </c>
      <c r="J603" s="78">
        <v>12</v>
      </c>
      <c r="K603" s="201">
        <v>4005</v>
      </c>
      <c r="L603" s="217">
        <v>4005</v>
      </c>
    </row>
    <row r="604" spans="2:14" ht="15" customHeight="1" x14ac:dyDescent="0.25">
      <c r="B604" s="53" t="s">
        <v>3</v>
      </c>
      <c r="C604" s="17" t="s">
        <v>188</v>
      </c>
      <c r="D604" s="17">
        <v>3</v>
      </c>
      <c r="E604" s="146">
        <v>2</v>
      </c>
      <c r="F604" s="146">
        <v>2</v>
      </c>
      <c r="G604" s="147">
        <v>3</v>
      </c>
      <c r="H604" s="147">
        <v>322</v>
      </c>
      <c r="I604" s="164" t="s">
        <v>91</v>
      </c>
      <c r="J604" s="78">
        <v>12</v>
      </c>
      <c r="K604" s="201">
        <v>10678</v>
      </c>
      <c r="L604" s="217">
        <v>53393</v>
      </c>
    </row>
    <row r="605" spans="2:14" ht="15" customHeight="1" x14ac:dyDescent="0.25">
      <c r="B605" s="53" t="s">
        <v>3</v>
      </c>
      <c r="C605" s="17" t="s">
        <v>188</v>
      </c>
      <c r="D605" s="17">
        <v>3</v>
      </c>
      <c r="E605" s="146">
        <v>2</v>
      </c>
      <c r="F605" s="146">
        <v>3</v>
      </c>
      <c r="G605" s="147">
        <v>5</v>
      </c>
      <c r="H605" s="147">
        <v>323</v>
      </c>
      <c r="I605" s="164" t="s">
        <v>59</v>
      </c>
      <c r="J605" s="78">
        <v>12</v>
      </c>
      <c r="K605" s="201">
        <v>42715</v>
      </c>
      <c r="L605" s="217">
        <v>0</v>
      </c>
    </row>
    <row r="606" spans="2:14" ht="15" customHeight="1" x14ac:dyDescent="0.25">
      <c r="B606" s="53" t="s">
        <v>3</v>
      </c>
      <c r="C606" s="17" t="s">
        <v>188</v>
      </c>
      <c r="D606" s="17">
        <v>3</v>
      </c>
      <c r="E606" s="146">
        <v>2</v>
      </c>
      <c r="F606" s="146">
        <v>3</v>
      </c>
      <c r="G606" s="147">
        <v>7</v>
      </c>
      <c r="H606" s="147">
        <v>323</v>
      </c>
      <c r="I606" s="52" t="s">
        <v>213</v>
      </c>
      <c r="J606" s="78">
        <v>12</v>
      </c>
      <c r="K606" s="201">
        <v>30325</v>
      </c>
      <c r="L606" s="217">
        <v>30325</v>
      </c>
    </row>
    <row r="607" spans="2:14" ht="28.5" customHeight="1" x14ac:dyDescent="0.25">
      <c r="B607" s="65" t="s">
        <v>3</v>
      </c>
      <c r="C607" s="58" t="s">
        <v>188</v>
      </c>
      <c r="D607" s="58"/>
      <c r="E607" s="59"/>
      <c r="F607" s="59"/>
      <c r="G607" s="59"/>
      <c r="H607" s="60" t="s">
        <v>4</v>
      </c>
      <c r="I607" s="61" t="s">
        <v>189</v>
      </c>
      <c r="J607" s="211">
        <v>563</v>
      </c>
      <c r="K607" s="236">
        <f>SUM(K615:K621)</f>
        <v>2526944</v>
      </c>
      <c r="L607" s="349">
        <f>SUM(L615:L621)</f>
        <v>2526944</v>
      </c>
    </row>
    <row r="608" spans="2:14" x14ac:dyDescent="0.25">
      <c r="B608" s="364" t="s">
        <v>3</v>
      </c>
      <c r="C608" s="365" t="s">
        <v>188</v>
      </c>
      <c r="D608" s="366"/>
      <c r="E608" s="367"/>
      <c r="F608" s="367"/>
      <c r="G608" s="369"/>
      <c r="H608" s="370">
        <v>31</v>
      </c>
      <c r="I608" s="355" t="s">
        <v>26</v>
      </c>
      <c r="J608" s="211">
        <v>563</v>
      </c>
      <c r="K608" s="377">
        <f>K610+K611</f>
        <v>2017092</v>
      </c>
      <c r="L608" s="378">
        <f>L610+L611</f>
        <v>2017092</v>
      </c>
      <c r="N608" s="413"/>
    </row>
    <row r="609" spans="2:14" x14ac:dyDescent="0.25">
      <c r="B609" s="364" t="s">
        <v>3</v>
      </c>
      <c r="C609" s="365" t="s">
        <v>188</v>
      </c>
      <c r="D609" s="366"/>
      <c r="E609" s="367"/>
      <c r="F609" s="367"/>
      <c r="G609" s="369"/>
      <c r="H609" s="370">
        <v>32</v>
      </c>
      <c r="I609" s="355" t="s">
        <v>27</v>
      </c>
      <c r="J609" s="211">
        <v>563</v>
      </c>
      <c r="K609" s="377">
        <f>K612+K613+K614</f>
        <v>509852</v>
      </c>
      <c r="L609" s="378">
        <f>L612+L613+L614</f>
        <v>509852</v>
      </c>
      <c r="N609" s="413"/>
    </row>
    <row r="610" spans="2:14" x14ac:dyDescent="0.25">
      <c r="B610" s="284" t="s">
        <v>3</v>
      </c>
      <c r="C610" s="260" t="s">
        <v>188</v>
      </c>
      <c r="D610" s="273"/>
      <c r="E610" s="274"/>
      <c r="F610" s="274"/>
      <c r="G610" s="275"/>
      <c r="H610" s="276">
        <v>311</v>
      </c>
      <c r="I610" s="277" t="s">
        <v>31</v>
      </c>
      <c r="J610" s="211">
        <v>563</v>
      </c>
      <c r="K610" s="267">
        <f>K615</f>
        <v>1731409</v>
      </c>
      <c r="L610" s="268">
        <f>L615</f>
        <v>1731409</v>
      </c>
    </row>
    <row r="611" spans="2:14" x14ac:dyDescent="0.25">
      <c r="B611" s="284" t="s">
        <v>3</v>
      </c>
      <c r="C611" s="260" t="s">
        <v>188</v>
      </c>
      <c r="D611" s="273"/>
      <c r="E611" s="274"/>
      <c r="F611" s="274"/>
      <c r="G611" s="275"/>
      <c r="H611" s="276">
        <v>313</v>
      </c>
      <c r="I611" s="277" t="s">
        <v>33</v>
      </c>
      <c r="J611" s="211">
        <v>563</v>
      </c>
      <c r="K611" s="267">
        <f>K616</f>
        <v>285683</v>
      </c>
      <c r="L611" s="268">
        <f>L616</f>
        <v>285683</v>
      </c>
    </row>
    <row r="612" spans="2:14" x14ac:dyDescent="0.25">
      <c r="B612" s="284" t="s">
        <v>3</v>
      </c>
      <c r="C612" s="260" t="s">
        <v>188</v>
      </c>
      <c r="D612" s="273"/>
      <c r="E612" s="274"/>
      <c r="F612" s="274"/>
      <c r="G612" s="275"/>
      <c r="H612" s="276">
        <v>321</v>
      </c>
      <c r="I612" s="277" t="s">
        <v>34</v>
      </c>
      <c r="J612" s="211">
        <v>563</v>
      </c>
      <c r="K612" s="267">
        <f>K617+K618</f>
        <v>35445</v>
      </c>
      <c r="L612" s="268">
        <f>L617+L618</f>
        <v>35445</v>
      </c>
    </row>
    <row r="613" spans="2:14" ht="15" customHeight="1" x14ac:dyDescent="0.25">
      <c r="B613" s="284" t="s">
        <v>3</v>
      </c>
      <c r="C613" s="260" t="s">
        <v>188</v>
      </c>
      <c r="D613" s="273"/>
      <c r="E613" s="274"/>
      <c r="F613" s="274"/>
      <c r="G613" s="275"/>
      <c r="H613" s="276">
        <v>322</v>
      </c>
      <c r="I613" s="277" t="s">
        <v>35</v>
      </c>
      <c r="J613" s="211">
        <v>563</v>
      </c>
      <c r="K613" s="267">
        <f>K619</f>
        <v>60513</v>
      </c>
      <c r="L613" s="268">
        <f>L619</f>
        <v>302564</v>
      </c>
    </row>
    <row r="614" spans="2:14" ht="15" customHeight="1" x14ac:dyDescent="0.25">
      <c r="B614" s="284" t="s">
        <v>3</v>
      </c>
      <c r="C614" s="260" t="s">
        <v>188</v>
      </c>
      <c r="D614" s="273"/>
      <c r="E614" s="274"/>
      <c r="F614" s="274"/>
      <c r="G614" s="276"/>
      <c r="H614" s="276">
        <v>323</v>
      </c>
      <c r="I614" s="277" t="s">
        <v>36</v>
      </c>
      <c r="J614" s="211">
        <v>563</v>
      </c>
      <c r="K614" s="267">
        <f>K620+K621</f>
        <v>413894</v>
      </c>
      <c r="L614" s="268">
        <f>L620+L621</f>
        <v>171843</v>
      </c>
    </row>
    <row r="615" spans="2:14" ht="15" customHeight="1" x14ac:dyDescent="0.25">
      <c r="B615" s="53" t="s">
        <v>3</v>
      </c>
      <c r="C615" s="17" t="s">
        <v>188</v>
      </c>
      <c r="D615" s="154">
        <v>3</v>
      </c>
      <c r="E615" s="162">
        <v>1</v>
      </c>
      <c r="F615" s="162">
        <v>1</v>
      </c>
      <c r="G615" s="163">
        <v>1</v>
      </c>
      <c r="H615" s="163">
        <v>311</v>
      </c>
      <c r="I615" s="194" t="s">
        <v>42</v>
      </c>
      <c r="J615" s="211">
        <v>563</v>
      </c>
      <c r="K615" s="201">
        <v>1731409</v>
      </c>
      <c r="L615" s="217">
        <v>1731409</v>
      </c>
    </row>
    <row r="616" spans="2:14" ht="15" customHeight="1" x14ac:dyDescent="0.25">
      <c r="B616" s="53" t="s">
        <v>3</v>
      </c>
      <c r="C616" s="17" t="s">
        <v>188</v>
      </c>
      <c r="D616" s="17">
        <v>3</v>
      </c>
      <c r="E616" s="146">
        <v>1</v>
      </c>
      <c r="F616" s="146">
        <v>3</v>
      </c>
      <c r="G616" s="147">
        <v>2</v>
      </c>
      <c r="H616" s="147">
        <v>313</v>
      </c>
      <c r="I616" s="52" t="s">
        <v>190</v>
      </c>
      <c r="J616" s="211">
        <v>563</v>
      </c>
      <c r="K616" s="201">
        <v>285683</v>
      </c>
      <c r="L616" s="217">
        <v>285683</v>
      </c>
    </row>
    <row r="617" spans="2:14" ht="15" customHeight="1" x14ac:dyDescent="0.25">
      <c r="B617" s="53" t="s">
        <v>3</v>
      </c>
      <c r="C617" s="17" t="s">
        <v>188</v>
      </c>
      <c r="D617" s="17">
        <v>3</v>
      </c>
      <c r="E617" s="146">
        <v>2</v>
      </c>
      <c r="F617" s="146">
        <v>1</v>
      </c>
      <c r="G617" s="147">
        <v>1</v>
      </c>
      <c r="H617" s="147">
        <v>321</v>
      </c>
      <c r="I617" s="164" t="s">
        <v>46</v>
      </c>
      <c r="J617" s="211">
        <v>563</v>
      </c>
      <c r="K617" s="201">
        <v>12750</v>
      </c>
      <c r="L617" s="217">
        <v>12750</v>
      </c>
    </row>
    <row r="618" spans="2:14" x14ac:dyDescent="0.25">
      <c r="B618" s="53" t="s">
        <v>3</v>
      </c>
      <c r="C618" s="17" t="s">
        <v>188</v>
      </c>
      <c r="D618" s="154">
        <v>3</v>
      </c>
      <c r="E618" s="162">
        <v>2</v>
      </c>
      <c r="F618" s="162">
        <v>1</v>
      </c>
      <c r="G618" s="163">
        <v>3</v>
      </c>
      <c r="H618" s="163">
        <v>321</v>
      </c>
      <c r="I618" s="194" t="s">
        <v>212</v>
      </c>
      <c r="J618" s="211">
        <v>563</v>
      </c>
      <c r="K618" s="201">
        <v>22695</v>
      </c>
      <c r="L618" s="217">
        <v>22695</v>
      </c>
    </row>
    <row r="619" spans="2:14" ht="15" customHeight="1" x14ac:dyDescent="0.25">
      <c r="B619" s="53" t="s">
        <v>3</v>
      </c>
      <c r="C619" s="17" t="s">
        <v>188</v>
      </c>
      <c r="D619" s="17">
        <v>3</v>
      </c>
      <c r="E619" s="146">
        <v>2</v>
      </c>
      <c r="F619" s="146">
        <v>2</v>
      </c>
      <c r="G619" s="147">
        <v>3</v>
      </c>
      <c r="H619" s="147">
        <v>322</v>
      </c>
      <c r="I619" s="164" t="s">
        <v>91</v>
      </c>
      <c r="J619" s="211">
        <v>563</v>
      </c>
      <c r="K619" s="201">
        <v>60513</v>
      </c>
      <c r="L619" s="217">
        <v>302564</v>
      </c>
    </row>
    <row r="620" spans="2:14" ht="15" customHeight="1" x14ac:dyDescent="0.25">
      <c r="B620" s="53" t="s">
        <v>3</v>
      </c>
      <c r="C620" s="17" t="s">
        <v>188</v>
      </c>
      <c r="D620" s="17">
        <v>3</v>
      </c>
      <c r="E620" s="146">
        <v>2</v>
      </c>
      <c r="F620" s="146">
        <v>3</v>
      </c>
      <c r="G620" s="147">
        <v>5</v>
      </c>
      <c r="H620" s="147">
        <v>323</v>
      </c>
      <c r="I620" s="164" t="s">
        <v>59</v>
      </c>
      <c r="J620" s="211">
        <v>563</v>
      </c>
      <c r="K620" s="201">
        <v>242051</v>
      </c>
      <c r="L620" s="217">
        <v>0</v>
      </c>
    </row>
    <row r="621" spans="2:14" ht="15" customHeight="1" x14ac:dyDescent="0.25">
      <c r="B621" s="53" t="s">
        <v>3</v>
      </c>
      <c r="C621" s="17" t="s">
        <v>188</v>
      </c>
      <c r="D621" s="17">
        <v>3</v>
      </c>
      <c r="E621" s="146">
        <v>2</v>
      </c>
      <c r="F621" s="146">
        <v>3</v>
      </c>
      <c r="G621" s="147">
        <v>7</v>
      </c>
      <c r="H621" s="147">
        <v>323</v>
      </c>
      <c r="I621" s="52" t="s">
        <v>213</v>
      </c>
      <c r="J621" s="211">
        <v>563</v>
      </c>
      <c r="K621" s="201">
        <v>171843</v>
      </c>
      <c r="L621" s="217">
        <v>171843</v>
      </c>
    </row>
    <row r="622" spans="2:14" ht="39" customHeight="1" x14ac:dyDescent="0.25">
      <c r="B622" s="109" t="s">
        <v>3</v>
      </c>
      <c r="C622" s="105" t="s">
        <v>180</v>
      </c>
      <c r="D622" s="102"/>
      <c r="E622" s="103"/>
      <c r="F622" s="103"/>
      <c r="G622" s="103"/>
      <c r="H622" s="106" t="s">
        <v>4</v>
      </c>
      <c r="I622" s="104" t="s">
        <v>181</v>
      </c>
      <c r="J622" s="122">
        <v>81</v>
      </c>
      <c r="K622" s="350">
        <f>SUM(K632:K643)</f>
        <v>0</v>
      </c>
      <c r="L622" s="350">
        <f>SUM(L632:L643)</f>
        <v>53030000</v>
      </c>
    </row>
    <row r="623" spans="2:14" x14ac:dyDescent="0.25">
      <c r="B623" s="392" t="s">
        <v>3</v>
      </c>
      <c r="C623" s="391" t="s">
        <v>180</v>
      </c>
      <c r="D623" s="389"/>
      <c r="E623" s="390"/>
      <c r="F623" s="390"/>
      <c r="G623" s="390"/>
      <c r="H623" s="391">
        <v>32</v>
      </c>
      <c r="I623" s="401" t="s">
        <v>27</v>
      </c>
      <c r="J623" s="122">
        <v>81</v>
      </c>
      <c r="K623" s="378">
        <f t="shared" ref="K623:L623" si="109">K626+K627+K628+K629</f>
        <v>0</v>
      </c>
      <c r="L623" s="378">
        <f t="shared" si="109"/>
        <v>47930000</v>
      </c>
      <c r="N623" s="413"/>
    </row>
    <row r="624" spans="2:14" x14ac:dyDescent="0.25">
      <c r="B624" s="392" t="s">
        <v>3</v>
      </c>
      <c r="C624" s="391" t="s">
        <v>180</v>
      </c>
      <c r="D624" s="389"/>
      <c r="E624" s="390"/>
      <c r="F624" s="390"/>
      <c r="G624" s="390"/>
      <c r="H624" s="391">
        <v>38</v>
      </c>
      <c r="I624" s="401" t="s">
        <v>29</v>
      </c>
      <c r="J624" s="122">
        <v>81</v>
      </c>
      <c r="K624" s="378">
        <f t="shared" ref="K624:L624" si="110">K630</f>
        <v>0</v>
      </c>
      <c r="L624" s="378">
        <f t="shared" si="110"/>
        <v>5000000</v>
      </c>
      <c r="N624" s="413"/>
    </row>
    <row r="625" spans="2:12" ht="25.5" x14ac:dyDescent="0.25">
      <c r="B625" s="392" t="s">
        <v>3</v>
      </c>
      <c r="C625" s="391" t="s">
        <v>180</v>
      </c>
      <c r="D625" s="389"/>
      <c r="E625" s="390"/>
      <c r="F625" s="390"/>
      <c r="G625" s="390"/>
      <c r="H625" s="391">
        <v>42</v>
      </c>
      <c r="I625" s="401" t="s">
        <v>30</v>
      </c>
      <c r="J625" s="122">
        <v>81</v>
      </c>
      <c r="K625" s="378">
        <f t="shared" ref="K625:L625" si="111">K631</f>
        <v>0</v>
      </c>
      <c r="L625" s="378">
        <f t="shared" si="111"/>
        <v>100000</v>
      </c>
    </row>
    <row r="626" spans="2:12" x14ac:dyDescent="0.25">
      <c r="B626" s="296" t="s">
        <v>3</v>
      </c>
      <c r="C626" s="402" t="s">
        <v>180</v>
      </c>
      <c r="D626" s="297"/>
      <c r="E626" s="298"/>
      <c r="F626" s="298"/>
      <c r="G626" s="295"/>
      <c r="H626" s="295">
        <v>321</v>
      </c>
      <c r="I626" s="299" t="s">
        <v>34</v>
      </c>
      <c r="J626" s="122">
        <v>81</v>
      </c>
      <c r="K626" s="268">
        <f t="shared" ref="K626:L626" si="112">K632+K633</f>
        <v>0</v>
      </c>
      <c r="L626" s="268">
        <f t="shared" si="112"/>
        <v>100000</v>
      </c>
    </row>
    <row r="627" spans="2:12" x14ac:dyDescent="0.25">
      <c r="B627" s="296" t="s">
        <v>3</v>
      </c>
      <c r="C627" s="402" t="s">
        <v>180</v>
      </c>
      <c r="D627" s="297"/>
      <c r="E627" s="298"/>
      <c r="F627" s="298"/>
      <c r="G627" s="300"/>
      <c r="H627" s="295">
        <v>322</v>
      </c>
      <c r="I627" s="299" t="s">
        <v>35</v>
      </c>
      <c r="J627" s="122">
        <v>81</v>
      </c>
      <c r="K627" s="268">
        <f t="shared" ref="K627:L627" si="113">K634</f>
        <v>0</v>
      </c>
      <c r="L627" s="268">
        <f t="shared" si="113"/>
        <v>500000</v>
      </c>
    </row>
    <row r="628" spans="2:12" x14ac:dyDescent="0.25">
      <c r="B628" s="296" t="s">
        <v>3</v>
      </c>
      <c r="C628" s="402" t="s">
        <v>180</v>
      </c>
      <c r="D628" s="297"/>
      <c r="E628" s="298"/>
      <c r="F628" s="298"/>
      <c r="G628" s="300"/>
      <c r="H628" s="295">
        <v>323</v>
      </c>
      <c r="I628" s="299" t="s">
        <v>36</v>
      </c>
      <c r="J628" s="122">
        <v>81</v>
      </c>
      <c r="K628" s="268">
        <f t="shared" ref="K628:L628" si="114">K635+K636+K637+K638+K639+K640</f>
        <v>0</v>
      </c>
      <c r="L628" s="268">
        <f t="shared" si="114"/>
        <v>47300000</v>
      </c>
    </row>
    <row r="629" spans="2:12" x14ac:dyDescent="0.25">
      <c r="B629" s="296" t="s">
        <v>3</v>
      </c>
      <c r="C629" s="402" t="s">
        <v>180</v>
      </c>
      <c r="D629" s="297"/>
      <c r="E629" s="298"/>
      <c r="F629" s="298"/>
      <c r="G629" s="300"/>
      <c r="H629" s="295">
        <v>329</v>
      </c>
      <c r="I629" s="299" t="s">
        <v>38</v>
      </c>
      <c r="J629" s="122">
        <v>81</v>
      </c>
      <c r="K629" s="268">
        <f t="shared" ref="K629:L629" si="115">K641</f>
        <v>0</v>
      </c>
      <c r="L629" s="268">
        <f t="shared" si="115"/>
        <v>30000</v>
      </c>
    </row>
    <row r="630" spans="2:12" x14ac:dyDescent="0.25">
      <c r="B630" s="296" t="s">
        <v>3</v>
      </c>
      <c r="C630" s="402" t="s">
        <v>180</v>
      </c>
      <c r="D630" s="297"/>
      <c r="E630" s="298"/>
      <c r="F630" s="298"/>
      <c r="G630" s="300"/>
      <c r="H630" s="295">
        <v>383</v>
      </c>
      <c r="I630" s="299" t="s">
        <v>178</v>
      </c>
      <c r="J630" s="122">
        <v>81</v>
      </c>
      <c r="K630" s="268">
        <f t="shared" ref="K630:L630" si="116">K642</f>
        <v>0</v>
      </c>
      <c r="L630" s="268">
        <f t="shared" si="116"/>
        <v>5000000</v>
      </c>
    </row>
    <row r="631" spans="2:12" x14ac:dyDescent="0.25">
      <c r="B631" s="296" t="s">
        <v>3</v>
      </c>
      <c r="C631" s="402" t="s">
        <v>180</v>
      </c>
      <c r="D631" s="297"/>
      <c r="E631" s="298"/>
      <c r="F631" s="298"/>
      <c r="G631" s="300"/>
      <c r="H631" s="295">
        <v>422</v>
      </c>
      <c r="I631" s="299" t="s">
        <v>94</v>
      </c>
      <c r="J631" s="122">
        <v>81</v>
      </c>
      <c r="K631" s="268">
        <f t="shared" ref="K631:L631" si="117">K643</f>
        <v>0</v>
      </c>
      <c r="L631" s="268">
        <f t="shared" si="117"/>
        <v>100000</v>
      </c>
    </row>
    <row r="632" spans="2:12" x14ac:dyDescent="0.25">
      <c r="B632" s="107" t="s">
        <v>3</v>
      </c>
      <c r="C632" s="403" t="s">
        <v>180</v>
      </c>
      <c r="D632" s="394">
        <v>3</v>
      </c>
      <c r="E632" s="395">
        <v>2</v>
      </c>
      <c r="F632" s="395">
        <v>1</v>
      </c>
      <c r="G632" s="395">
        <v>1</v>
      </c>
      <c r="H632" s="100">
        <v>321</v>
      </c>
      <c r="I632" s="398" t="s">
        <v>182</v>
      </c>
      <c r="J632" s="123">
        <v>81</v>
      </c>
      <c r="K632" s="126">
        <v>0</v>
      </c>
      <c r="L632" s="212">
        <v>50000</v>
      </c>
    </row>
    <row r="633" spans="2:12" x14ac:dyDescent="0.25">
      <c r="B633" s="107" t="s">
        <v>3</v>
      </c>
      <c r="C633" s="403" t="s">
        <v>180</v>
      </c>
      <c r="D633" s="394">
        <v>3</v>
      </c>
      <c r="E633" s="395">
        <v>2</v>
      </c>
      <c r="F633" s="395">
        <v>1</v>
      </c>
      <c r="G633" s="395">
        <v>3</v>
      </c>
      <c r="H633" s="100">
        <v>321</v>
      </c>
      <c r="I633" s="398" t="s">
        <v>48</v>
      </c>
      <c r="J633" s="123">
        <v>81</v>
      </c>
      <c r="K633" s="126">
        <v>0</v>
      </c>
      <c r="L633" s="212">
        <v>50000</v>
      </c>
    </row>
    <row r="634" spans="2:12" x14ac:dyDescent="0.25">
      <c r="B634" s="107" t="s">
        <v>3</v>
      </c>
      <c r="C634" s="403" t="s">
        <v>180</v>
      </c>
      <c r="D634" s="394">
        <v>3</v>
      </c>
      <c r="E634" s="395">
        <v>2</v>
      </c>
      <c r="F634" s="395">
        <v>2</v>
      </c>
      <c r="G634" s="395">
        <v>1</v>
      </c>
      <c r="H634" s="100">
        <v>322</v>
      </c>
      <c r="I634" s="404" t="s">
        <v>50</v>
      </c>
      <c r="J634" s="123">
        <v>81</v>
      </c>
      <c r="K634" s="126">
        <v>0</v>
      </c>
      <c r="L634" s="212">
        <v>500000</v>
      </c>
    </row>
    <row r="635" spans="2:12" x14ac:dyDescent="0.25">
      <c r="B635" s="107" t="s">
        <v>3</v>
      </c>
      <c r="C635" s="403" t="s">
        <v>180</v>
      </c>
      <c r="D635" s="394">
        <v>3</v>
      </c>
      <c r="E635" s="395">
        <v>2</v>
      </c>
      <c r="F635" s="395">
        <v>3</v>
      </c>
      <c r="G635" s="395">
        <v>1</v>
      </c>
      <c r="H635" s="100">
        <v>323</v>
      </c>
      <c r="I635" s="405" t="s">
        <v>183</v>
      </c>
      <c r="J635" s="123">
        <v>81</v>
      </c>
      <c r="K635" s="126">
        <v>0</v>
      </c>
      <c r="L635" s="212">
        <v>50000</v>
      </c>
    </row>
    <row r="636" spans="2:12" x14ac:dyDescent="0.25">
      <c r="B636" s="107" t="s">
        <v>3</v>
      </c>
      <c r="C636" s="403" t="s">
        <v>180</v>
      </c>
      <c r="D636" s="394">
        <v>3</v>
      </c>
      <c r="E636" s="395">
        <v>2</v>
      </c>
      <c r="F636" s="395">
        <v>3</v>
      </c>
      <c r="G636" s="395">
        <v>2</v>
      </c>
      <c r="H636" s="100">
        <v>323</v>
      </c>
      <c r="I636" s="405" t="s">
        <v>78</v>
      </c>
      <c r="J636" s="123">
        <v>81</v>
      </c>
      <c r="K636" s="126">
        <v>0</v>
      </c>
      <c r="L636" s="212">
        <v>36000000</v>
      </c>
    </row>
    <row r="637" spans="2:12" x14ac:dyDescent="0.25">
      <c r="B637" s="107" t="s">
        <v>3</v>
      </c>
      <c r="C637" s="403" t="s">
        <v>180</v>
      </c>
      <c r="D637" s="395">
        <v>3</v>
      </c>
      <c r="E637" s="395">
        <v>2</v>
      </c>
      <c r="F637" s="395">
        <v>3</v>
      </c>
      <c r="G637" s="395">
        <v>3</v>
      </c>
      <c r="H637" s="100">
        <v>323</v>
      </c>
      <c r="I637" s="398" t="s">
        <v>57</v>
      </c>
      <c r="J637" s="123">
        <v>81</v>
      </c>
      <c r="K637" s="126">
        <v>0</v>
      </c>
      <c r="L637" s="212">
        <v>200000</v>
      </c>
    </row>
    <row r="638" spans="2:12" x14ac:dyDescent="0.25">
      <c r="B638" s="107" t="s">
        <v>3</v>
      </c>
      <c r="C638" s="403" t="s">
        <v>180</v>
      </c>
      <c r="D638" s="394">
        <v>3</v>
      </c>
      <c r="E638" s="395">
        <v>2</v>
      </c>
      <c r="F638" s="395">
        <v>3</v>
      </c>
      <c r="G638" s="395">
        <v>7</v>
      </c>
      <c r="H638" s="100">
        <v>323</v>
      </c>
      <c r="I638" s="326" t="s">
        <v>61</v>
      </c>
      <c r="J638" s="123">
        <v>81</v>
      </c>
      <c r="K638" s="126">
        <v>0</v>
      </c>
      <c r="L638" s="212">
        <v>10000000</v>
      </c>
    </row>
    <row r="639" spans="2:12" x14ac:dyDescent="0.25">
      <c r="B639" s="107" t="s">
        <v>3</v>
      </c>
      <c r="C639" s="403" t="s">
        <v>180</v>
      </c>
      <c r="D639" s="394">
        <v>3</v>
      </c>
      <c r="E639" s="395">
        <v>2</v>
      </c>
      <c r="F639" s="395">
        <v>3</v>
      </c>
      <c r="G639" s="395">
        <v>8</v>
      </c>
      <c r="H639" s="100">
        <v>323</v>
      </c>
      <c r="I639" s="398" t="s">
        <v>85</v>
      </c>
      <c r="J639" s="123">
        <v>81</v>
      </c>
      <c r="K639" s="126">
        <v>0</v>
      </c>
      <c r="L639" s="212">
        <v>1000000</v>
      </c>
    </row>
    <row r="640" spans="2:12" x14ac:dyDescent="0.25">
      <c r="B640" s="107" t="s">
        <v>3</v>
      </c>
      <c r="C640" s="403" t="s">
        <v>180</v>
      </c>
      <c r="D640" s="394">
        <v>3</v>
      </c>
      <c r="E640" s="395">
        <v>2</v>
      </c>
      <c r="F640" s="395">
        <v>3</v>
      </c>
      <c r="G640" s="395">
        <v>9</v>
      </c>
      <c r="H640" s="100">
        <v>323</v>
      </c>
      <c r="I640" s="398" t="s">
        <v>86</v>
      </c>
      <c r="J640" s="123">
        <v>81</v>
      </c>
      <c r="K640" s="126">
        <v>0</v>
      </c>
      <c r="L640" s="212">
        <v>50000</v>
      </c>
    </row>
    <row r="641" spans="2:14" x14ac:dyDescent="0.25">
      <c r="B641" s="107" t="s">
        <v>3</v>
      </c>
      <c r="C641" s="403" t="s">
        <v>180</v>
      </c>
      <c r="D641" s="396">
        <v>3</v>
      </c>
      <c r="E641" s="397">
        <v>2</v>
      </c>
      <c r="F641" s="397">
        <v>9</v>
      </c>
      <c r="G641" s="406">
        <v>9</v>
      </c>
      <c r="H641" s="100">
        <v>329</v>
      </c>
      <c r="I641" s="405" t="s">
        <v>38</v>
      </c>
      <c r="J641" s="123">
        <v>81</v>
      </c>
      <c r="K641" s="126">
        <v>0</v>
      </c>
      <c r="L641" s="212">
        <v>30000</v>
      </c>
    </row>
    <row r="642" spans="2:14" x14ac:dyDescent="0.25">
      <c r="B642" s="108" t="s">
        <v>3</v>
      </c>
      <c r="C642" s="408" t="s">
        <v>180</v>
      </c>
      <c r="D642" s="409">
        <v>3</v>
      </c>
      <c r="E642" s="410">
        <v>8</v>
      </c>
      <c r="F642" s="410">
        <v>3</v>
      </c>
      <c r="G642" s="411">
        <v>1</v>
      </c>
      <c r="H642" s="99">
        <v>383</v>
      </c>
      <c r="I642" s="412" t="s">
        <v>184</v>
      </c>
      <c r="J642" s="123">
        <v>81</v>
      </c>
      <c r="K642" s="126">
        <v>0</v>
      </c>
      <c r="L642" s="217">
        <v>5000000</v>
      </c>
    </row>
    <row r="643" spans="2:14" x14ac:dyDescent="0.25">
      <c r="B643" s="107" t="s">
        <v>3</v>
      </c>
      <c r="C643" s="403" t="s">
        <v>180</v>
      </c>
      <c r="D643" s="396">
        <v>4</v>
      </c>
      <c r="E643" s="397">
        <v>2</v>
      </c>
      <c r="F643" s="397">
        <v>2</v>
      </c>
      <c r="G643" s="406">
        <v>1</v>
      </c>
      <c r="H643" s="100">
        <v>422</v>
      </c>
      <c r="I643" s="407" t="s">
        <v>95</v>
      </c>
      <c r="J643" s="123">
        <v>81</v>
      </c>
      <c r="K643" s="126">
        <v>0</v>
      </c>
      <c r="L643" s="212">
        <v>100000</v>
      </c>
    </row>
    <row r="644" spans="2:14" ht="38.25" x14ac:dyDescent="0.25">
      <c r="B644" s="2" t="s">
        <v>23</v>
      </c>
      <c r="C644" s="3" t="s">
        <v>204</v>
      </c>
      <c r="D644" s="3"/>
      <c r="E644" s="4"/>
      <c r="F644" s="4"/>
      <c r="G644" s="4"/>
      <c r="H644" s="338"/>
      <c r="I644" s="429" t="s">
        <v>205</v>
      </c>
      <c r="J644" s="339">
        <v>11</v>
      </c>
      <c r="K644" s="236">
        <f>SUM(K650:K655)</f>
        <v>0</v>
      </c>
      <c r="L644" s="349">
        <f>SUM(L650:L655)</f>
        <v>2550000</v>
      </c>
    </row>
    <row r="645" spans="2:14" x14ac:dyDescent="0.25">
      <c r="B645" s="388" t="s">
        <v>23</v>
      </c>
      <c r="C645" s="387" t="s">
        <v>204</v>
      </c>
      <c r="D645" s="353"/>
      <c r="E645" s="353"/>
      <c r="F645" s="353"/>
      <c r="G645" s="353"/>
      <c r="H645" s="387">
        <v>32</v>
      </c>
      <c r="I645" s="355" t="s">
        <v>27</v>
      </c>
      <c r="J645" s="339">
        <v>11</v>
      </c>
      <c r="K645" s="378">
        <f>K647+K648</f>
        <v>0</v>
      </c>
      <c r="L645" s="378">
        <f>L647+L648</f>
        <v>2350000</v>
      </c>
      <c r="N645" s="413"/>
    </row>
    <row r="646" spans="2:14" ht="25.5" x14ac:dyDescent="0.25">
      <c r="B646" s="388" t="s">
        <v>23</v>
      </c>
      <c r="C646" s="387" t="s">
        <v>204</v>
      </c>
      <c r="D646" s="353"/>
      <c r="E646" s="353"/>
      <c r="F646" s="353"/>
      <c r="G646" s="353"/>
      <c r="H646" s="387">
        <v>41</v>
      </c>
      <c r="I646" s="425" t="s">
        <v>99</v>
      </c>
      <c r="J646" s="329">
        <v>11</v>
      </c>
      <c r="K646" s="426">
        <f>K649</f>
        <v>0</v>
      </c>
      <c r="L646" s="426">
        <f>L649</f>
        <v>200000</v>
      </c>
    </row>
    <row r="647" spans="2:14" x14ac:dyDescent="0.25">
      <c r="B647" s="341" t="s">
        <v>23</v>
      </c>
      <c r="C647" s="393" t="s">
        <v>204</v>
      </c>
      <c r="D647" s="288"/>
      <c r="E647" s="288"/>
      <c r="F647" s="288"/>
      <c r="G647" s="288"/>
      <c r="H647" s="337">
        <v>323</v>
      </c>
      <c r="I647" s="342" t="s">
        <v>36</v>
      </c>
      <c r="J647" s="329">
        <v>11</v>
      </c>
      <c r="K647" s="328">
        <f>K650+K651+K652</f>
        <v>0</v>
      </c>
      <c r="L647" s="328">
        <f>L650+L651+L652</f>
        <v>2200000</v>
      </c>
    </row>
    <row r="648" spans="2:14" x14ac:dyDescent="0.25">
      <c r="B648" s="341" t="s">
        <v>23</v>
      </c>
      <c r="C648" s="393" t="s">
        <v>204</v>
      </c>
      <c r="D648" s="288"/>
      <c r="E648" s="288"/>
      <c r="F648" s="288"/>
      <c r="G648" s="288"/>
      <c r="H648" s="337">
        <v>329</v>
      </c>
      <c r="I648" s="342" t="s">
        <v>38</v>
      </c>
      <c r="J648" s="329">
        <v>11</v>
      </c>
      <c r="K648" s="328">
        <f>K653</f>
        <v>0</v>
      </c>
      <c r="L648" s="328">
        <f>L653</f>
        <v>150000</v>
      </c>
    </row>
    <row r="649" spans="2:14" x14ac:dyDescent="0.25">
      <c r="B649" s="341" t="s">
        <v>23</v>
      </c>
      <c r="C649" s="393" t="s">
        <v>204</v>
      </c>
      <c r="D649" s="288"/>
      <c r="E649" s="288"/>
      <c r="F649" s="288"/>
      <c r="G649" s="288"/>
      <c r="H649" s="337">
        <v>421</v>
      </c>
      <c r="I649" s="342" t="s">
        <v>41</v>
      </c>
      <c r="J649" s="329">
        <v>11</v>
      </c>
      <c r="K649" s="328">
        <f>K654+K655</f>
        <v>0</v>
      </c>
      <c r="L649" s="328">
        <f>L654+L655</f>
        <v>200000</v>
      </c>
    </row>
    <row r="650" spans="2:14" x14ac:dyDescent="0.25">
      <c r="B650" s="346" t="s">
        <v>23</v>
      </c>
      <c r="C650" s="344" t="s">
        <v>204</v>
      </c>
      <c r="D650" s="146">
        <v>3</v>
      </c>
      <c r="E650" s="146">
        <v>2</v>
      </c>
      <c r="F650" s="146">
        <v>3</v>
      </c>
      <c r="G650" s="146">
        <v>2</v>
      </c>
      <c r="H650" s="344">
        <v>323</v>
      </c>
      <c r="I650" s="347" t="s">
        <v>78</v>
      </c>
      <c r="J650" s="228">
        <v>11</v>
      </c>
      <c r="K650" s="216">
        <v>0</v>
      </c>
      <c r="L650" s="216">
        <v>100000</v>
      </c>
    </row>
    <row r="651" spans="2:14" x14ac:dyDescent="0.25">
      <c r="B651" s="346" t="s">
        <v>23</v>
      </c>
      <c r="C651" s="344" t="s">
        <v>204</v>
      </c>
      <c r="D651" s="146">
        <v>3</v>
      </c>
      <c r="E651" s="146">
        <v>2</v>
      </c>
      <c r="F651" s="146">
        <v>3</v>
      </c>
      <c r="G651" s="146">
        <v>7</v>
      </c>
      <c r="H651" s="344">
        <v>323</v>
      </c>
      <c r="I651" s="347" t="s">
        <v>61</v>
      </c>
      <c r="J651" s="228">
        <v>11</v>
      </c>
      <c r="K651" s="216">
        <v>0</v>
      </c>
      <c r="L651" s="216">
        <v>2000000</v>
      </c>
    </row>
    <row r="652" spans="2:14" x14ac:dyDescent="0.25">
      <c r="B652" s="346" t="s">
        <v>23</v>
      </c>
      <c r="C652" s="344" t="s">
        <v>204</v>
      </c>
      <c r="D652" s="146">
        <v>3</v>
      </c>
      <c r="E652" s="146">
        <v>2</v>
      </c>
      <c r="F652" s="146">
        <v>3</v>
      </c>
      <c r="G652" s="146">
        <v>9</v>
      </c>
      <c r="H652" s="344">
        <v>323</v>
      </c>
      <c r="I652" s="347" t="s">
        <v>86</v>
      </c>
      <c r="J652" s="228">
        <v>11</v>
      </c>
      <c r="K652" s="216">
        <v>0</v>
      </c>
      <c r="L652" s="216">
        <v>100000</v>
      </c>
    </row>
    <row r="653" spans="2:14" x14ac:dyDescent="0.25">
      <c r="B653" s="346" t="s">
        <v>23</v>
      </c>
      <c r="C653" s="344" t="s">
        <v>204</v>
      </c>
      <c r="D653" s="162">
        <v>3</v>
      </c>
      <c r="E653" s="162">
        <v>2</v>
      </c>
      <c r="F653" s="162">
        <v>9</v>
      </c>
      <c r="G653" s="162">
        <v>2</v>
      </c>
      <c r="H653" s="344">
        <v>329</v>
      </c>
      <c r="I653" s="347" t="s">
        <v>64</v>
      </c>
      <c r="J653" s="228">
        <v>11</v>
      </c>
      <c r="K653" s="216">
        <v>0</v>
      </c>
      <c r="L653" s="216">
        <v>150000</v>
      </c>
    </row>
    <row r="654" spans="2:14" x14ac:dyDescent="0.25">
      <c r="B654" s="346" t="s">
        <v>23</v>
      </c>
      <c r="C654" s="344" t="s">
        <v>204</v>
      </c>
      <c r="D654" s="146">
        <v>4</v>
      </c>
      <c r="E654" s="146">
        <v>2</v>
      </c>
      <c r="F654" s="146">
        <v>1</v>
      </c>
      <c r="G654" s="146">
        <v>1</v>
      </c>
      <c r="H654" s="344">
        <v>421</v>
      </c>
      <c r="I654" s="347" t="s">
        <v>73</v>
      </c>
      <c r="J654" s="228">
        <v>11</v>
      </c>
      <c r="K654" s="216">
        <v>0</v>
      </c>
      <c r="L654" s="216">
        <v>100000</v>
      </c>
    </row>
    <row r="655" spans="2:14" x14ac:dyDescent="0.25">
      <c r="B655" s="346" t="s">
        <v>23</v>
      </c>
      <c r="C655" s="344" t="s">
        <v>204</v>
      </c>
      <c r="D655" s="146">
        <v>4</v>
      </c>
      <c r="E655" s="146">
        <v>2</v>
      </c>
      <c r="F655" s="146">
        <v>1</v>
      </c>
      <c r="G655" s="146">
        <v>2</v>
      </c>
      <c r="H655" s="344">
        <v>421</v>
      </c>
      <c r="I655" s="347" t="s">
        <v>74</v>
      </c>
      <c r="J655" s="228">
        <v>11</v>
      </c>
      <c r="K655" s="216">
        <v>0</v>
      </c>
      <c r="L655" s="216">
        <v>100000</v>
      </c>
    </row>
    <row r="656" spans="2:14" ht="25.5" x14ac:dyDescent="0.25">
      <c r="B656" s="2" t="s">
        <v>23</v>
      </c>
      <c r="C656" s="3" t="s">
        <v>203</v>
      </c>
      <c r="D656" s="3"/>
      <c r="E656" s="4"/>
      <c r="F656" s="4"/>
      <c r="G656" s="4"/>
      <c r="H656" s="338"/>
      <c r="I656" s="429" t="s">
        <v>199</v>
      </c>
      <c r="J656" s="339">
        <v>11</v>
      </c>
      <c r="K656" s="236">
        <f>SUM(K659:K660)</f>
        <v>0</v>
      </c>
      <c r="L656" s="349">
        <f>SUM(L659:L660)</f>
        <v>3000000</v>
      </c>
    </row>
    <row r="657" spans="2:14" x14ac:dyDescent="0.25">
      <c r="B657" s="388" t="s">
        <v>23</v>
      </c>
      <c r="C657" s="387" t="s">
        <v>203</v>
      </c>
      <c r="D657" s="353"/>
      <c r="E657" s="353"/>
      <c r="F657" s="353"/>
      <c r="G657" s="353"/>
      <c r="H657" s="387">
        <v>32</v>
      </c>
      <c r="I657" s="355" t="s">
        <v>27</v>
      </c>
      <c r="J657" s="339">
        <v>11</v>
      </c>
      <c r="K657" s="378">
        <f>K658</f>
        <v>0</v>
      </c>
      <c r="L657" s="378">
        <f>L658</f>
        <v>3000000</v>
      </c>
    </row>
    <row r="658" spans="2:14" x14ac:dyDescent="0.25">
      <c r="B658" s="341" t="s">
        <v>23</v>
      </c>
      <c r="C658" s="393" t="s">
        <v>203</v>
      </c>
      <c r="D658" s="288"/>
      <c r="E658" s="288"/>
      <c r="F658" s="288"/>
      <c r="G658" s="288"/>
      <c r="H658" s="337">
        <v>323</v>
      </c>
      <c r="I658" s="342" t="s">
        <v>36</v>
      </c>
      <c r="J658" s="329">
        <v>11</v>
      </c>
      <c r="K658" s="328">
        <f>K659+K660</f>
        <v>0</v>
      </c>
      <c r="L658" s="328">
        <f>L659+L660</f>
        <v>3000000</v>
      </c>
    </row>
    <row r="659" spans="2:14" x14ac:dyDescent="0.25">
      <c r="B659" s="346" t="s">
        <v>23</v>
      </c>
      <c r="C659" s="344" t="s">
        <v>203</v>
      </c>
      <c r="D659" s="146">
        <v>3</v>
      </c>
      <c r="E659" s="146">
        <v>2</v>
      </c>
      <c r="F659" s="146">
        <v>3</v>
      </c>
      <c r="G659" s="146">
        <v>2</v>
      </c>
      <c r="H659" s="344">
        <v>323</v>
      </c>
      <c r="I659" s="347" t="s">
        <v>78</v>
      </c>
      <c r="J659" s="228">
        <v>11</v>
      </c>
      <c r="K659" s="216">
        <v>0</v>
      </c>
      <c r="L659" s="216">
        <v>1500000</v>
      </c>
    </row>
    <row r="660" spans="2:14" x14ac:dyDescent="0.25">
      <c r="B660" s="346" t="s">
        <v>23</v>
      </c>
      <c r="C660" s="344" t="s">
        <v>203</v>
      </c>
      <c r="D660" s="146">
        <v>3</v>
      </c>
      <c r="E660" s="146">
        <v>2</v>
      </c>
      <c r="F660" s="146">
        <v>3</v>
      </c>
      <c r="G660" s="146">
        <v>7</v>
      </c>
      <c r="H660" s="344">
        <v>323</v>
      </c>
      <c r="I660" s="347" t="s">
        <v>61</v>
      </c>
      <c r="J660" s="228">
        <v>11</v>
      </c>
      <c r="K660" s="216">
        <v>0</v>
      </c>
      <c r="L660" s="216">
        <v>1500000</v>
      </c>
    </row>
    <row r="661" spans="2:14" ht="38.25" x14ac:dyDescent="0.25">
      <c r="B661" s="65" t="s">
        <v>23</v>
      </c>
      <c r="C661" s="58" t="s">
        <v>211</v>
      </c>
      <c r="D661" s="58"/>
      <c r="E661" s="59"/>
      <c r="F661" s="59"/>
      <c r="G661" s="59"/>
      <c r="H661" s="60" t="s">
        <v>4</v>
      </c>
      <c r="I661" s="61" t="s">
        <v>208</v>
      </c>
      <c r="J661" s="428">
        <v>581</v>
      </c>
      <c r="K661" s="236">
        <f t="shared" ref="K661:L661" si="118">SUM(K671:K677)</f>
        <v>0</v>
      </c>
      <c r="L661" s="349">
        <f t="shared" si="118"/>
        <v>14195798.25</v>
      </c>
    </row>
    <row r="662" spans="2:14" x14ac:dyDescent="0.25">
      <c r="B662" s="364" t="s">
        <v>23</v>
      </c>
      <c r="C662" s="365" t="s">
        <v>211</v>
      </c>
      <c r="D662" s="366"/>
      <c r="E662" s="367"/>
      <c r="F662" s="367"/>
      <c r="G662" s="369"/>
      <c r="H662" s="370">
        <v>32</v>
      </c>
      <c r="I662" s="401" t="s">
        <v>27</v>
      </c>
      <c r="J662" s="428">
        <v>581</v>
      </c>
      <c r="K662" s="377">
        <f t="shared" ref="K662:L664" si="119">K666</f>
        <v>0</v>
      </c>
      <c r="L662" s="378">
        <f t="shared" si="119"/>
        <v>5146621.25</v>
      </c>
      <c r="N662" s="413"/>
    </row>
    <row r="663" spans="2:14" ht="25.5" x14ac:dyDescent="0.25">
      <c r="B663" s="364" t="s">
        <v>23</v>
      </c>
      <c r="C663" s="365" t="s">
        <v>211</v>
      </c>
      <c r="D663" s="366"/>
      <c r="E663" s="367"/>
      <c r="F663" s="367"/>
      <c r="G663" s="369"/>
      <c r="H663" s="370">
        <v>36</v>
      </c>
      <c r="I663" s="401" t="s">
        <v>82</v>
      </c>
      <c r="J663" s="428">
        <v>581</v>
      </c>
      <c r="K663" s="377">
        <f t="shared" si="119"/>
        <v>0</v>
      </c>
      <c r="L663" s="378">
        <f t="shared" si="119"/>
        <v>2657927</v>
      </c>
      <c r="N663" s="413"/>
    </row>
    <row r="664" spans="2:14" ht="25.5" x14ac:dyDescent="0.25">
      <c r="B664" s="364" t="s">
        <v>23</v>
      </c>
      <c r="C664" s="365" t="s">
        <v>211</v>
      </c>
      <c r="D664" s="366"/>
      <c r="E664" s="367"/>
      <c r="F664" s="367"/>
      <c r="G664" s="369"/>
      <c r="H664" s="370">
        <v>41</v>
      </c>
      <c r="I664" s="401" t="s">
        <v>99</v>
      </c>
      <c r="J664" s="428">
        <v>581</v>
      </c>
      <c r="K664" s="377">
        <f t="shared" si="119"/>
        <v>0</v>
      </c>
      <c r="L664" s="378">
        <f t="shared" si="119"/>
        <v>580000</v>
      </c>
    </row>
    <row r="665" spans="2:14" ht="25.5" x14ac:dyDescent="0.25">
      <c r="B665" s="364" t="s">
        <v>23</v>
      </c>
      <c r="C665" s="365" t="s">
        <v>211</v>
      </c>
      <c r="D665" s="366"/>
      <c r="E665" s="367"/>
      <c r="F665" s="367"/>
      <c r="G665" s="369"/>
      <c r="H665" s="370">
        <v>42</v>
      </c>
      <c r="I665" s="401" t="s">
        <v>30</v>
      </c>
      <c r="J665" s="428">
        <v>581</v>
      </c>
      <c r="K665" s="377">
        <f>K669+K670</f>
        <v>0</v>
      </c>
      <c r="L665" s="378">
        <f>L669+L670</f>
        <v>5811250</v>
      </c>
    </row>
    <row r="666" spans="2:14" ht="15" customHeight="1" x14ac:dyDescent="0.25">
      <c r="B666" s="284" t="s">
        <v>23</v>
      </c>
      <c r="C666" s="260" t="s">
        <v>211</v>
      </c>
      <c r="D666" s="273"/>
      <c r="E666" s="274"/>
      <c r="F666" s="274"/>
      <c r="G666" s="275"/>
      <c r="H666" s="276">
        <v>323</v>
      </c>
      <c r="I666" s="277" t="s">
        <v>36</v>
      </c>
      <c r="J666" s="428">
        <v>581</v>
      </c>
      <c r="K666" s="267">
        <f>K671+K672+K673</f>
        <v>0</v>
      </c>
      <c r="L666" s="268">
        <f>L671+L672+L673</f>
        <v>5146621.25</v>
      </c>
    </row>
    <row r="667" spans="2:14" ht="15" customHeight="1" x14ac:dyDescent="0.25">
      <c r="B667" s="284" t="s">
        <v>23</v>
      </c>
      <c r="C667" s="260" t="s">
        <v>211</v>
      </c>
      <c r="D667" s="273"/>
      <c r="E667" s="274"/>
      <c r="F667" s="274"/>
      <c r="G667" s="276"/>
      <c r="H667" s="276">
        <v>363</v>
      </c>
      <c r="I667" s="277" t="s">
        <v>83</v>
      </c>
      <c r="J667" s="428">
        <v>581</v>
      </c>
      <c r="K667" s="267">
        <f t="shared" ref="K667:L670" si="120">K674</f>
        <v>0</v>
      </c>
      <c r="L667" s="268">
        <f t="shared" si="120"/>
        <v>2657927</v>
      </c>
    </row>
    <row r="668" spans="2:14" ht="15" customHeight="1" x14ac:dyDescent="0.25">
      <c r="B668" s="284" t="s">
        <v>23</v>
      </c>
      <c r="C668" s="260" t="s">
        <v>211</v>
      </c>
      <c r="D668" s="273"/>
      <c r="E668" s="274"/>
      <c r="F668" s="274"/>
      <c r="G668" s="276"/>
      <c r="H668" s="276">
        <v>412</v>
      </c>
      <c r="I668" s="277" t="s">
        <v>100</v>
      </c>
      <c r="J668" s="428">
        <v>581</v>
      </c>
      <c r="K668" s="267">
        <f t="shared" si="120"/>
        <v>0</v>
      </c>
      <c r="L668" s="268">
        <f t="shared" si="120"/>
        <v>580000</v>
      </c>
    </row>
    <row r="669" spans="2:14" ht="15" customHeight="1" x14ac:dyDescent="0.25">
      <c r="B669" s="284" t="s">
        <v>23</v>
      </c>
      <c r="C669" s="260" t="s">
        <v>211</v>
      </c>
      <c r="D669" s="273"/>
      <c r="E669" s="274"/>
      <c r="F669" s="274"/>
      <c r="G669" s="276"/>
      <c r="H669" s="276">
        <v>422</v>
      </c>
      <c r="I669" s="277" t="s">
        <v>77</v>
      </c>
      <c r="J669" s="428">
        <v>581</v>
      </c>
      <c r="K669" s="267">
        <f t="shared" si="120"/>
        <v>0</v>
      </c>
      <c r="L669" s="268">
        <f t="shared" si="120"/>
        <v>100000</v>
      </c>
    </row>
    <row r="670" spans="2:14" ht="15" customHeight="1" x14ac:dyDescent="0.25">
      <c r="B670" s="284" t="s">
        <v>23</v>
      </c>
      <c r="C670" s="260" t="s">
        <v>211</v>
      </c>
      <c r="D670" s="273"/>
      <c r="E670" s="274"/>
      <c r="F670" s="274"/>
      <c r="G670" s="276"/>
      <c r="H670" s="276">
        <v>426</v>
      </c>
      <c r="I670" s="277" t="s">
        <v>77</v>
      </c>
      <c r="J670" s="428">
        <v>581</v>
      </c>
      <c r="K670" s="267">
        <f t="shared" si="120"/>
        <v>0</v>
      </c>
      <c r="L670" s="268">
        <f t="shared" si="120"/>
        <v>5711250</v>
      </c>
    </row>
    <row r="671" spans="2:14" ht="15" customHeight="1" x14ac:dyDescent="0.25">
      <c r="B671" s="53" t="s">
        <v>23</v>
      </c>
      <c r="C671" s="17" t="s">
        <v>211</v>
      </c>
      <c r="D671" s="154">
        <v>3</v>
      </c>
      <c r="E671" s="162">
        <v>2</v>
      </c>
      <c r="F671" s="162">
        <v>3</v>
      </c>
      <c r="G671" s="163">
        <v>2</v>
      </c>
      <c r="H671" s="163">
        <v>323</v>
      </c>
      <c r="I671" s="434" t="s">
        <v>132</v>
      </c>
      <c r="J671" s="428">
        <v>581</v>
      </c>
      <c r="K671" s="201">
        <v>0</v>
      </c>
      <c r="L671" s="217">
        <v>551250</v>
      </c>
      <c r="M671" s="413"/>
    </row>
    <row r="672" spans="2:14" ht="15" customHeight="1" x14ac:dyDescent="0.25">
      <c r="B672" s="53" t="s">
        <v>23</v>
      </c>
      <c r="C672" s="17" t="s">
        <v>211</v>
      </c>
      <c r="D672" s="17">
        <v>3</v>
      </c>
      <c r="E672" s="146">
        <v>2</v>
      </c>
      <c r="F672" s="146">
        <v>3</v>
      </c>
      <c r="G672" s="147">
        <v>3</v>
      </c>
      <c r="H672" s="147">
        <v>323</v>
      </c>
      <c r="I672" s="435" t="s">
        <v>57</v>
      </c>
      <c r="J672" s="428">
        <v>581</v>
      </c>
      <c r="K672" s="201">
        <v>0</v>
      </c>
      <c r="L672" s="217">
        <v>275000</v>
      </c>
    </row>
    <row r="673" spans="2:13" ht="15" customHeight="1" x14ac:dyDescent="0.25">
      <c r="B673" s="53" t="s">
        <v>23</v>
      </c>
      <c r="C673" s="17" t="s">
        <v>211</v>
      </c>
      <c r="D673" s="17">
        <v>3</v>
      </c>
      <c r="E673" s="146">
        <v>2</v>
      </c>
      <c r="F673" s="146">
        <v>3</v>
      </c>
      <c r="G673" s="147">
        <v>7</v>
      </c>
      <c r="H673" s="147">
        <v>323</v>
      </c>
      <c r="I673" s="430" t="s">
        <v>61</v>
      </c>
      <c r="J673" s="428">
        <v>581</v>
      </c>
      <c r="K673" s="201">
        <v>0</v>
      </c>
      <c r="L673" s="217">
        <v>4320371.25</v>
      </c>
    </row>
    <row r="674" spans="2:13" ht="15" customHeight="1" x14ac:dyDescent="0.25">
      <c r="B674" s="53" t="s">
        <v>23</v>
      </c>
      <c r="C674" s="17" t="s">
        <v>211</v>
      </c>
      <c r="D674" s="17">
        <v>3</v>
      </c>
      <c r="E674" s="146">
        <v>6</v>
      </c>
      <c r="F674" s="146">
        <v>3</v>
      </c>
      <c r="G674" s="146">
        <v>1</v>
      </c>
      <c r="H674" s="20">
        <v>363</v>
      </c>
      <c r="I674" s="436" t="s">
        <v>87</v>
      </c>
      <c r="J674" s="428">
        <v>581</v>
      </c>
      <c r="K674" s="201">
        <v>0</v>
      </c>
      <c r="L674" s="217">
        <v>2657927</v>
      </c>
    </row>
    <row r="675" spans="2:13" ht="15" customHeight="1" x14ac:dyDescent="0.25">
      <c r="B675" s="53" t="s">
        <v>23</v>
      </c>
      <c r="C675" s="17" t="s">
        <v>211</v>
      </c>
      <c r="D675" s="54">
        <v>4</v>
      </c>
      <c r="E675" s="55">
        <v>1</v>
      </c>
      <c r="F675" s="55">
        <v>2</v>
      </c>
      <c r="G675" s="55">
        <v>3</v>
      </c>
      <c r="H675" s="176">
        <v>412</v>
      </c>
      <c r="I675" s="177" t="s">
        <v>101</v>
      </c>
      <c r="J675" s="428">
        <v>581</v>
      </c>
      <c r="K675" s="201">
        <v>0</v>
      </c>
      <c r="L675" s="217">
        <v>580000</v>
      </c>
      <c r="M675" s="413"/>
    </row>
    <row r="676" spans="2:13" ht="15" customHeight="1" x14ac:dyDescent="0.25">
      <c r="B676" s="53" t="s">
        <v>23</v>
      </c>
      <c r="C676" s="17" t="s">
        <v>211</v>
      </c>
      <c r="D676" s="17">
        <v>4</v>
      </c>
      <c r="E676" s="146">
        <v>2</v>
      </c>
      <c r="F676" s="146">
        <v>2</v>
      </c>
      <c r="G676" s="147">
        <v>1</v>
      </c>
      <c r="H676" s="147">
        <v>422</v>
      </c>
      <c r="I676" s="437" t="s">
        <v>95</v>
      </c>
      <c r="J676" s="428">
        <v>581</v>
      </c>
      <c r="K676" s="201">
        <v>0</v>
      </c>
      <c r="L676" s="217">
        <v>100000</v>
      </c>
    </row>
    <row r="677" spans="2:13" ht="15" customHeight="1" x14ac:dyDescent="0.25">
      <c r="B677" s="53" t="s">
        <v>23</v>
      </c>
      <c r="C677" s="17" t="s">
        <v>211</v>
      </c>
      <c r="D677" s="17">
        <v>4</v>
      </c>
      <c r="E677" s="146">
        <v>2</v>
      </c>
      <c r="F677" s="146">
        <v>6</v>
      </c>
      <c r="G677" s="147">
        <v>2</v>
      </c>
      <c r="H677" s="147">
        <v>426</v>
      </c>
      <c r="I677" s="435" t="s">
        <v>79</v>
      </c>
      <c r="J677" s="428">
        <v>581</v>
      </c>
      <c r="K677" s="201">
        <v>0</v>
      </c>
      <c r="L677" s="217">
        <v>5711250</v>
      </c>
    </row>
    <row r="678" spans="2:13" ht="38.25" x14ac:dyDescent="0.25">
      <c r="B678" s="2" t="s">
        <v>23</v>
      </c>
      <c r="C678" s="3" t="s">
        <v>202</v>
      </c>
      <c r="D678" s="3"/>
      <c r="E678" s="4"/>
      <c r="F678" s="4"/>
      <c r="G678" s="4"/>
      <c r="H678" s="338"/>
      <c r="I678" s="429" t="s">
        <v>201</v>
      </c>
      <c r="J678" s="428">
        <v>581</v>
      </c>
      <c r="K678" s="236">
        <f>SUM(K681:K682)</f>
        <v>0</v>
      </c>
      <c r="L678" s="349">
        <f>SUM(L681:L682)</f>
        <v>1222000</v>
      </c>
    </row>
    <row r="679" spans="2:13" x14ac:dyDescent="0.25">
      <c r="B679" s="388" t="s">
        <v>23</v>
      </c>
      <c r="C679" s="387" t="s">
        <v>202</v>
      </c>
      <c r="D679" s="353"/>
      <c r="E679" s="353"/>
      <c r="F679" s="353"/>
      <c r="G679" s="353"/>
      <c r="H679" s="387">
        <v>32</v>
      </c>
      <c r="I679" s="355" t="s">
        <v>27</v>
      </c>
      <c r="J679" s="428">
        <v>581</v>
      </c>
      <c r="K679" s="378">
        <f>K680</f>
        <v>0</v>
      </c>
      <c r="L679" s="378">
        <f>L680</f>
        <v>1222000</v>
      </c>
    </row>
    <row r="680" spans="2:13" x14ac:dyDescent="0.25">
      <c r="B680" s="341" t="s">
        <v>23</v>
      </c>
      <c r="C680" s="393" t="s">
        <v>202</v>
      </c>
      <c r="D680" s="288"/>
      <c r="E680" s="288"/>
      <c r="F680" s="288"/>
      <c r="G680" s="288"/>
      <c r="H680" s="337">
        <v>323</v>
      </c>
      <c r="I680" s="342" t="s">
        <v>36</v>
      </c>
      <c r="J680" s="428">
        <v>581</v>
      </c>
      <c r="K680" s="328">
        <f>K682+K681</f>
        <v>0</v>
      </c>
      <c r="L680" s="331">
        <f>L682+L681</f>
        <v>1222000</v>
      </c>
    </row>
    <row r="681" spans="2:13" x14ac:dyDescent="0.25">
      <c r="B681" s="346" t="s">
        <v>23</v>
      </c>
      <c r="C681" s="344" t="s">
        <v>202</v>
      </c>
      <c r="D681" s="146">
        <v>3</v>
      </c>
      <c r="E681" s="146">
        <v>2</v>
      </c>
      <c r="F681" s="146">
        <v>3</v>
      </c>
      <c r="G681" s="146">
        <v>3</v>
      </c>
      <c r="H681" s="344">
        <v>323</v>
      </c>
      <c r="I681" s="347" t="s">
        <v>57</v>
      </c>
      <c r="J681" s="428">
        <v>581</v>
      </c>
      <c r="K681" s="414">
        <v>0</v>
      </c>
      <c r="L681" s="216">
        <v>122000</v>
      </c>
    </row>
    <row r="682" spans="2:13" x14ac:dyDescent="0.25">
      <c r="B682" s="346" t="s">
        <v>23</v>
      </c>
      <c r="C682" s="344" t="s">
        <v>202</v>
      </c>
      <c r="D682" s="146">
        <v>3</v>
      </c>
      <c r="E682" s="146">
        <v>2</v>
      </c>
      <c r="F682" s="146">
        <v>3</v>
      </c>
      <c r="G682" s="146">
        <v>7</v>
      </c>
      <c r="H682" s="344">
        <v>323</v>
      </c>
      <c r="I682" s="347" t="s">
        <v>61</v>
      </c>
      <c r="J682" s="428">
        <v>581</v>
      </c>
      <c r="K682" s="414">
        <v>0</v>
      </c>
      <c r="L682" s="216">
        <v>1100000</v>
      </c>
    </row>
    <row r="683" spans="2:13" x14ac:dyDescent="0.25">
      <c r="B683" s="2" t="s">
        <v>23</v>
      </c>
      <c r="C683" s="3" t="s">
        <v>206</v>
      </c>
      <c r="D683" s="3"/>
      <c r="E683" s="4"/>
      <c r="F683" s="4"/>
      <c r="G683" s="4"/>
      <c r="H683" s="338"/>
      <c r="I683" s="429" t="s">
        <v>194</v>
      </c>
      <c r="J683" s="428">
        <v>581</v>
      </c>
      <c r="K683" s="236">
        <f>SUM(K686)</f>
        <v>0</v>
      </c>
      <c r="L683" s="349">
        <f>SUM(L686)</f>
        <v>100000</v>
      </c>
    </row>
    <row r="684" spans="2:13" x14ac:dyDescent="0.25">
      <c r="B684" s="388" t="s">
        <v>23</v>
      </c>
      <c r="C684" s="387" t="s">
        <v>206</v>
      </c>
      <c r="D684" s="353"/>
      <c r="E684" s="353"/>
      <c r="F684" s="353"/>
      <c r="G684" s="353"/>
      <c r="H684" s="387">
        <v>38</v>
      </c>
      <c r="I684" s="355" t="s">
        <v>29</v>
      </c>
      <c r="J684" s="428">
        <v>581</v>
      </c>
      <c r="K684" s="378">
        <f>K685</f>
        <v>0</v>
      </c>
      <c r="L684" s="378">
        <f>L685</f>
        <v>100000</v>
      </c>
    </row>
    <row r="685" spans="2:13" x14ac:dyDescent="0.25">
      <c r="B685" s="341" t="s">
        <v>23</v>
      </c>
      <c r="C685" s="393" t="s">
        <v>206</v>
      </c>
      <c r="D685" s="288"/>
      <c r="E685" s="288"/>
      <c r="F685" s="288"/>
      <c r="G685" s="288"/>
      <c r="H685" s="337">
        <v>382</v>
      </c>
      <c r="I685" s="342" t="s">
        <v>150</v>
      </c>
      <c r="J685" s="428">
        <v>581</v>
      </c>
      <c r="K685" s="328">
        <f>K686</f>
        <v>0</v>
      </c>
      <c r="L685" s="331">
        <f>L686</f>
        <v>100000</v>
      </c>
    </row>
    <row r="686" spans="2:13" x14ac:dyDescent="0.25">
      <c r="B686" s="346" t="s">
        <v>23</v>
      </c>
      <c r="C686" s="344" t="s">
        <v>206</v>
      </c>
      <c r="D686" s="146">
        <v>3</v>
      </c>
      <c r="E686" s="146">
        <v>8</v>
      </c>
      <c r="F686" s="146">
        <v>2</v>
      </c>
      <c r="G686" s="146">
        <v>3</v>
      </c>
      <c r="H686" s="344">
        <v>382</v>
      </c>
      <c r="I686" s="347" t="s">
        <v>154</v>
      </c>
      <c r="J686" s="428">
        <v>581</v>
      </c>
      <c r="K686" s="414">
        <v>0</v>
      </c>
      <c r="L686" s="216">
        <v>100000</v>
      </c>
    </row>
    <row r="687" spans="2:13" x14ac:dyDescent="0.25">
      <c r="B687" s="222"/>
      <c r="C687" s="421"/>
      <c r="D687" s="421"/>
      <c r="E687" s="421"/>
      <c r="F687" s="421"/>
      <c r="G687" s="421"/>
      <c r="H687" s="183"/>
      <c r="I687" s="422"/>
      <c r="J687" s="424"/>
      <c r="K687" s="423"/>
      <c r="L687" s="239"/>
    </row>
  </sheetData>
  <mergeCells count="3">
    <mergeCell ref="L1:L2"/>
    <mergeCell ref="I1:I2"/>
    <mergeCell ref="K1:K2"/>
  </mergeCells>
  <phoneticPr fontId="38" type="noConversion"/>
  <pageMargins left="0" right="0" top="0" bottom="0" header="0.31496062992125984" footer="0.31496062992125984"/>
  <pageSetup paperSize="9" scale="64" fitToHeight="0" orientation="landscape" r:id="rId1"/>
  <headerFooter>
    <oddFooter>Stranica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6DC6F1F78BAF479EB2B67894B8AD1C" ma:contentTypeVersion="9" ma:contentTypeDescription="Create a new document." ma:contentTypeScope="" ma:versionID="200a4ef73c9422b7ca59240d04700f07">
  <xsd:schema xmlns:xsd="http://www.w3.org/2001/XMLSchema" xmlns:xs="http://www.w3.org/2001/XMLSchema" xmlns:p="http://schemas.microsoft.com/office/2006/metadata/properties" xmlns:ns3="22fd3b70-78fc-46b8-ad27-90a7969efe83" targetNamespace="http://schemas.microsoft.com/office/2006/metadata/properties" ma:root="true" ma:fieldsID="213dca9fa710ec331993779d165bee93" ns3:_="">
    <xsd:import namespace="22fd3b70-78fc-46b8-ad27-90a7969efe8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fd3b70-78fc-46b8-ad27-90a7969efe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CD5D4B-E8ED-4B5D-81C4-7AEDEF08E3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fd3b70-78fc-46b8-ad27-90a7969efe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48D8EF-A54F-4F9A-B085-AFB7E9504CA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CA5DD53-A03D-4AB3-954A-CF8D47FA18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076</vt:lpstr>
      <vt:lpstr>'076'!bookmark2</vt:lpstr>
      <vt:lpstr>'076'!Ispis_naslova</vt:lpstr>
    </vt:vector>
  </TitlesOfParts>
  <Manager/>
  <Company>MZOPUG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Antea Ključe Ileković</dc:creator>
  <cp:keywords/>
  <dc:description/>
  <cp:lastModifiedBy>Igor Rastovac</cp:lastModifiedBy>
  <cp:revision/>
  <cp:lastPrinted>2021-05-25T11:42:02Z</cp:lastPrinted>
  <dcterms:created xsi:type="dcterms:W3CDTF">2012-01-20T12:37:56Z</dcterms:created>
  <dcterms:modified xsi:type="dcterms:W3CDTF">2021-07-09T06:54:48Z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0x0101007B6DC6F1F78BAF479EB2B67894B8AD1C</vt:lpwstr>
  </property>
</Properties>
</file>